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2"/>
  <workbookPr/>
  <mc:AlternateContent xmlns:mc="http://schemas.openxmlformats.org/markup-compatibility/2006">
    <mc:Choice Requires="x15">
      <x15ac:absPath xmlns:x15ac="http://schemas.microsoft.com/office/spreadsheetml/2010/11/ac" url="/Volumes/pr$/WEB DOCUMENTS/Business Office/"/>
    </mc:Choice>
  </mc:AlternateContent>
  <xr:revisionPtr revIDLastSave="0" documentId="8_{6BB7EC9B-F316-B14A-AEA4-7B5BE3AA19D6}" xr6:coauthVersionLast="47" xr6:coauthVersionMax="47" xr10:uidLastSave="{00000000-0000-0000-0000-000000000000}"/>
  <bookViews>
    <workbookView xWindow="0" yWindow="500" windowWidth="23260" windowHeight="14860" xr2:uid="{00000000-000D-0000-FFFF-FFFF00000000}"/>
  </bookViews>
  <sheets>
    <sheet name="Instructions" sheetId="9" r:id="rId1"/>
    <sheet name="Request" sheetId="1" r:id="rId2"/>
    <sheet name="Expenses" sheetId="5" r:id="rId3"/>
    <sheet name="Settlement" sheetId="16" r:id="rId4"/>
    <sheet name="Settlement 2 - To Delete" sheetId="13" state="hidden" r:id="rId5"/>
    <sheet name="PD_Request" sheetId="11" r:id="rId6"/>
    <sheet name="Lookups" sheetId="10" r:id="rId7"/>
    <sheet name="PINS" sheetId="17" r:id="rId8"/>
    <sheet name="System Names" sheetId="15" state="hidden" r:id="rId9"/>
  </sheets>
  <definedNames>
    <definedName name="_xlnm._FilterDatabase" localSheetId="8" hidden="1">'System Names'!$B$1:$D$1</definedName>
    <definedName name="Category">Expenses!$I$3:$I$38</definedName>
    <definedName name="City__State">Expenses!$D$3:$D$38</definedName>
    <definedName name="Date">Expenses!$C$3:$C$38</definedName>
    <definedName name="Dept_No">Lookups!$A$2:$A$151</definedName>
    <definedName name="Dept_Number">Lookups!$A$2:$A$126</definedName>
    <definedName name="Description">Expenses!$J$3:$J$38</definedName>
    <definedName name="Exp_Category">Expenses!$U$8:$U$29</definedName>
    <definedName name="From_City">Lookups!$G$1:$I$1</definedName>
    <definedName name="GSA_Per_Diem">Expenses!$S$3:$S$38</definedName>
    <definedName name="Line_Item">Expenses!$H$3:$H$38</definedName>
    <definedName name="Mileage_Data">Lookups!$G$2:$I$42</definedName>
    <definedName name="Not_Allowable">Expenses!$N$3:$N$38</definedName>
    <definedName name="Pcard_Yes_No">Expenses!$F$3:$F$38</definedName>
    <definedName name="_xlnm.Print_Area" localSheetId="2">Expenses!$A$1:$O$44</definedName>
    <definedName name="_xlnm.Print_Area" localSheetId="5">PD_Request!$A$1:$I$28</definedName>
    <definedName name="_xlnm.Print_Area" localSheetId="1">Request!$A$1:$I$43</definedName>
    <definedName name="_xlnm.Print_Area" localSheetId="3">Settlement!$A$1:$P$114</definedName>
    <definedName name="_xlnm.Print_Area" localSheetId="4">'Settlement 2 - To Delete'!$A$1:$N$58</definedName>
    <definedName name="_xlnm.Print_Titles" localSheetId="2">Expenses!$1:$2</definedName>
    <definedName name="_xlnm.Print_Titles" localSheetId="3">Settlement!$1:$15</definedName>
    <definedName name="Receipt_Yes_No">Expenses!$F$3:$F$38</definedName>
    <definedName name="Tip">Expenses!$M$3:$M$38</definedName>
    <definedName name="To_City">Lookups!$F$2:$F$42</definedName>
    <definedName name="Total">Expenses!$O$3:$O$38</definedName>
    <definedName name="Total_Receipt">Expenses!$L$3:$L$38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5" i="1" l="1"/>
  <c r="E70" i="16" l="1"/>
  <c r="A70" i="16" s="1"/>
  <c r="E69" i="16"/>
  <c r="A69" i="16" s="1"/>
  <c r="E68" i="16"/>
  <c r="A68" i="16" s="1"/>
  <c r="E67" i="16"/>
  <c r="A67" i="16" s="1"/>
  <c r="E66" i="16"/>
  <c r="A66" i="16" s="1"/>
  <c r="E30" i="1" l="1"/>
  <c r="C13" i="16" l="1"/>
  <c r="E49" i="5" l="1"/>
  <c r="E48" i="5"/>
  <c r="E47" i="5"/>
  <c r="E46"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O4" i="5"/>
  <c r="K37" i="5"/>
  <c r="K36" i="5"/>
  <c r="K35" i="5"/>
  <c r="K34" i="5"/>
  <c r="K33" i="5"/>
  <c r="K32" i="5"/>
  <c r="K31" i="5"/>
  <c r="K30" i="5"/>
  <c r="K29" i="5"/>
  <c r="K28" i="5"/>
  <c r="K27" i="5"/>
  <c r="K26" i="5"/>
  <c r="K25" i="5"/>
  <c r="K24" i="5"/>
  <c r="K23" i="5"/>
  <c r="K22" i="5"/>
  <c r="K21" i="5"/>
  <c r="K20" i="5"/>
  <c r="K19" i="5"/>
  <c r="K18" i="5"/>
  <c r="K17" i="5"/>
  <c r="K16" i="5"/>
  <c r="K15" i="5"/>
  <c r="K14" i="5"/>
  <c r="K13" i="5"/>
  <c r="K12" i="5"/>
  <c r="K11" i="5"/>
  <c r="K10" i="5"/>
  <c r="K9" i="5"/>
  <c r="K8" i="5"/>
  <c r="K7" i="5"/>
  <c r="K6" i="5"/>
  <c r="K5" i="5"/>
  <c r="K4" i="5"/>
  <c r="O5" i="5" l="1"/>
  <c r="J27" i="1"/>
  <c r="L34" i="1"/>
  <c r="Q35" i="1" s="1"/>
  <c r="O35" i="1"/>
  <c r="P36" i="1"/>
  <c r="P33" i="1"/>
  <c r="P34" i="1"/>
  <c r="P35" i="1" l="1"/>
  <c r="G27" i="1" s="1"/>
  <c r="N7" i="16"/>
  <c r="P7" i="16" l="1"/>
  <c r="O7" i="16"/>
  <c r="H4" i="5" l="1"/>
  <c r="I4" i="5"/>
  <c r="H5" i="5"/>
  <c r="I5" i="5"/>
  <c r="H6" i="5"/>
  <c r="I6" i="5"/>
  <c r="H7" i="5"/>
  <c r="I7" i="5"/>
  <c r="H8" i="5"/>
  <c r="I8" i="5"/>
  <c r="H9" i="5"/>
  <c r="I9" i="5"/>
  <c r="H10" i="5"/>
  <c r="I10" i="5"/>
  <c r="H11" i="5"/>
  <c r="I11" i="5"/>
  <c r="H12" i="5"/>
  <c r="I12" i="5"/>
  <c r="H13" i="5"/>
  <c r="I13" i="5"/>
  <c r="H14" i="5"/>
  <c r="I14" i="5"/>
  <c r="H15" i="5"/>
  <c r="I15" i="5"/>
  <c r="H16" i="5"/>
  <c r="I16" i="5"/>
  <c r="H17" i="5"/>
  <c r="I17" i="5"/>
  <c r="S4" i="5"/>
  <c r="E5" i="16" l="1"/>
  <c r="C14" i="16" l="1"/>
  <c r="C15" i="16" s="1"/>
  <c r="I7" i="16"/>
  <c r="I36" i="5"/>
  <c r="H36" i="5"/>
  <c r="I35" i="5"/>
  <c r="H35" i="5"/>
  <c r="I34" i="5"/>
  <c r="H34" i="5"/>
  <c r="I33" i="5"/>
  <c r="H33" i="5"/>
  <c r="I32" i="5"/>
  <c r="H32" i="5"/>
  <c r="I31" i="5"/>
  <c r="H31" i="5"/>
  <c r="I30" i="5"/>
  <c r="H30" i="5"/>
  <c r="I29" i="5"/>
  <c r="H29" i="5"/>
  <c r="I28" i="5"/>
  <c r="H28" i="5"/>
  <c r="I27" i="5"/>
  <c r="H27" i="5"/>
  <c r="Y15" i="5" l="1"/>
  <c r="Y16" i="5"/>
  <c r="Y17" i="5"/>
  <c r="Y18" i="5"/>
  <c r="Y19" i="5"/>
  <c r="Q37" i="5"/>
  <c r="Q36" i="5"/>
  <c r="Q35" i="5"/>
  <c r="Q34" i="5"/>
  <c r="Q33" i="5"/>
  <c r="Q32" i="5"/>
  <c r="Q31" i="5"/>
  <c r="Q30" i="5"/>
  <c r="Q29" i="5"/>
  <c r="Q28" i="5"/>
  <c r="Q27" i="5"/>
  <c r="Q26" i="5"/>
  <c r="Q25" i="5"/>
  <c r="Q24" i="5"/>
  <c r="Q23" i="5"/>
  <c r="Q22" i="5"/>
  <c r="Q21" i="5"/>
  <c r="Q20" i="5"/>
  <c r="Q19" i="5"/>
  <c r="Q18" i="5"/>
  <c r="Q17" i="5"/>
  <c r="Q16" i="5"/>
  <c r="Q15" i="5"/>
  <c r="Q14" i="5"/>
  <c r="Q13" i="5"/>
  <c r="Q12" i="5"/>
  <c r="Q11" i="5"/>
  <c r="Q10" i="5"/>
  <c r="Q9" i="5"/>
  <c r="Q8" i="5"/>
  <c r="Q7" i="5"/>
  <c r="Q6" i="5"/>
  <c r="Q5" i="5"/>
  <c r="Q4" i="5" l="1"/>
  <c r="R13" i="5" s="1"/>
  <c r="S13" i="5" s="1"/>
  <c r="R7" i="5" l="1"/>
  <c r="S7" i="5" s="1"/>
  <c r="R17" i="5"/>
  <c r="S17" i="5" s="1"/>
  <c r="R21" i="5"/>
  <c r="S21" i="5" s="1"/>
  <c r="R16" i="5"/>
  <c r="S16" i="5" s="1"/>
  <c r="R19" i="5"/>
  <c r="S19" i="5" s="1"/>
  <c r="R27" i="5"/>
  <c r="S27" i="5" s="1"/>
  <c r="R30" i="5"/>
  <c r="S30" i="5" s="1"/>
  <c r="R34" i="5"/>
  <c r="S34" i="5" s="1"/>
  <c r="R9" i="5"/>
  <c r="S9" i="5" s="1"/>
  <c r="R33" i="5"/>
  <c r="S33" i="5" s="1"/>
  <c r="R20" i="5"/>
  <c r="S20" i="5" s="1"/>
  <c r="R5" i="5"/>
  <c r="S5" i="5" s="1"/>
  <c r="R15" i="5"/>
  <c r="S15" i="5" s="1"/>
  <c r="R23" i="5"/>
  <c r="S23" i="5" s="1"/>
  <c r="R26" i="5"/>
  <c r="S26" i="5" s="1"/>
  <c r="R22" i="5"/>
  <c r="S22" i="5" s="1"/>
  <c r="R36" i="5"/>
  <c r="S36" i="5" s="1"/>
  <c r="R29" i="5"/>
  <c r="S29" i="5" s="1"/>
  <c r="R32" i="5"/>
  <c r="S32" i="5" s="1"/>
  <c r="R12" i="5"/>
  <c r="S12" i="5" s="1"/>
  <c r="R6" i="5"/>
  <c r="S6" i="5" s="1"/>
  <c r="R11" i="5"/>
  <c r="S11" i="5" s="1"/>
  <c r="R18" i="5"/>
  <c r="S18" i="5" s="1"/>
  <c r="R14" i="5"/>
  <c r="S14" i="5" s="1"/>
  <c r="R24" i="5"/>
  <c r="S24" i="5" s="1"/>
  <c r="R25" i="5"/>
  <c r="S25" i="5" s="1"/>
  <c r="R28" i="5"/>
  <c r="S28" i="5" s="1"/>
  <c r="R8" i="5"/>
  <c r="S8" i="5" s="1"/>
  <c r="R31" i="5"/>
  <c r="S31" i="5" s="1"/>
  <c r="R37" i="5"/>
  <c r="S37" i="5" s="1"/>
  <c r="R35" i="5"/>
  <c r="S35" i="5" s="1"/>
  <c r="R10" i="5"/>
  <c r="S10" i="5" s="1"/>
  <c r="D11" i="16"/>
  <c r="P11" i="16"/>
  <c r="O11" i="16"/>
  <c r="N11" i="16"/>
  <c r="M11" i="16"/>
  <c r="L11" i="16"/>
  <c r="K11" i="16"/>
  <c r="J11" i="16"/>
  <c r="I11" i="16"/>
  <c r="H11" i="16"/>
  <c r="G11" i="16"/>
  <c r="F11" i="16"/>
  <c r="E11" i="16"/>
  <c r="P9" i="16"/>
  <c r="N9" i="16"/>
  <c r="I9" i="16"/>
  <c r="E9" i="16"/>
  <c r="D9" i="16"/>
  <c r="B9" i="16"/>
  <c r="L8" i="16"/>
  <c r="B8" i="16"/>
  <c r="B7" i="16"/>
  <c r="B17" i="16" l="1"/>
  <c r="C43" i="5" l="1"/>
  <c r="D42" i="5"/>
  <c r="C42" i="5"/>
  <c r="J44" i="5"/>
  <c r="E32" i="1"/>
  <c r="G32" i="1" s="1"/>
  <c r="E31" i="1" l="1"/>
  <c r="G31" i="1" s="1"/>
  <c r="M43" i="5"/>
  <c r="F32" i="1"/>
  <c r="F31" i="1"/>
  <c r="F30" i="1"/>
  <c r="F27" i="1"/>
  <c r="I26" i="5" l="1"/>
  <c r="H26" i="5"/>
  <c r="I25" i="5"/>
  <c r="H25" i="5"/>
  <c r="I24" i="5"/>
  <c r="H24" i="5"/>
  <c r="I23" i="5"/>
  <c r="H23" i="5"/>
  <c r="I22" i="5"/>
  <c r="H22" i="5"/>
  <c r="I21" i="5"/>
  <c r="H21" i="5"/>
  <c r="I20" i="5"/>
  <c r="H20" i="5"/>
  <c r="I19" i="5"/>
  <c r="H19" i="5"/>
  <c r="I18" i="5"/>
  <c r="H18" i="5"/>
  <c r="D38" i="5"/>
  <c r="C38" i="5"/>
  <c r="O38" i="5" s="1"/>
  <c r="Y37" i="5"/>
  <c r="Y36" i="5"/>
  <c r="Y35" i="5"/>
  <c r="Y34" i="5"/>
  <c r="Y33" i="5"/>
  <c r="Y32" i="5"/>
  <c r="D3" i="5"/>
  <c r="C3" i="5"/>
  <c r="O3" i="5" s="1"/>
  <c r="Y38" i="5" l="1"/>
  <c r="I3" i="5"/>
  <c r="H38" i="5"/>
  <c r="I38" i="5"/>
  <c r="Y6" i="5"/>
  <c r="Y7" i="5"/>
  <c r="Y8" i="5"/>
  <c r="Y9" i="5"/>
  <c r="Y10" i="5"/>
  <c r="Y11" i="5"/>
  <c r="B3" i="5" l="1"/>
  <c r="D40" i="16" s="1"/>
  <c r="H3" i="5"/>
  <c r="C40" i="16" l="1"/>
  <c r="F40" i="16"/>
  <c r="G40" i="16"/>
  <c r="E40" i="16"/>
  <c r="E274" i="15"/>
  <c r="E273" i="15"/>
  <c r="E272" i="15"/>
  <c r="E271" i="15"/>
  <c r="E270" i="15"/>
  <c r="E269" i="15"/>
  <c r="E268" i="15"/>
  <c r="E267" i="15"/>
  <c r="E266" i="15"/>
  <c r="E265" i="15"/>
  <c r="E264" i="15"/>
  <c r="E263" i="15"/>
  <c r="E262" i="15"/>
  <c r="E261" i="15"/>
  <c r="E260" i="15"/>
  <c r="E259" i="15"/>
  <c r="E258" i="15"/>
  <c r="E257" i="15"/>
  <c r="E256" i="15"/>
  <c r="E255" i="15"/>
  <c r="E254" i="15"/>
  <c r="E253" i="15"/>
  <c r="E252" i="15"/>
  <c r="E251" i="15"/>
  <c r="E250" i="15"/>
  <c r="E249" i="15"/>
  <c r="E248" i="15"/>
  <c r="E247" i="15"/>
  <c r="E246" i="15"/>
  <c r="E245" i="15"/>
  <c r="E244" i="15"/>
  <c r="E243" i="15"/>
  <c r="E242" i="15"/>
  <c r="E241" i="15"/>
  <c r="E240" i="15"/>
  <c r="E239" i="15"/>
  <c r="E238" i="15"/>
  <c r="E237" i="15"/>
  <c r="E236" i="15"/>
  <c r="E235" i="15"/>
  <c r="E234" i="15"/>
  <c r="E233" i="15"/>
  <c r="E232" i="15"/>
  <c r="E231" i="15"/>
  <c r="E230" i="15"/>
  <c r="E229" i="15"/>
  <c r="E228" i="15"/>
  <c r="E227" i="15"/>
  <c r="E226" i="15"/>
  <c r="E225" i="15"/>
  <c r="E224" i="15"/>
  <c r="E223" i="15"/>
  <c r="E222" i="15"/>
  <c r="E221" i="15"/>
  <c r="E220" i="15"/>
  <c r="E219" i="15"/>
  <c r="E218" i="15"/>
  <c r="E217" i="15"/>
  <c r="E216" i="15"/>
  <c r="E215" i="15"/>
  <c r="E214" i="15"/>
  <c r="E213" i="15"/>
  <c r="E212" i="15"/>
  <c r="E211" i="15"/>
  <c r="E210" i="15"/>
  <c r="E209" i="15"/>
  <c r="E208" i="15"/>
  <c r="E207" i="15"/>
  <c r="E206" i="15"/>
  <c r="E205" i="15"/>
  <c r="E204" i="15"/>
  <c r="E203" i="15"/>
  <c r="E202" i="15"/>
  <c r="E201" i="15"/>
  <c r="E200" i="15"/>
  <c r="E199" i="15"/>
  <c r="E198" i="15"/>
  <c r="E197" i="15"/>
  <c r="E19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 r="I37" i="5"/>
  <c r="H37" i="5"/>
  <c r="J69" i="16"/>
  <c r="J5" i="1" l="1"/>
  <c r="J6" i="1"/>
  <c r="J68" i="16"/>
  <c r="J67" i="16"/>
  <c r="J66" i="16"/>
  <c r="J70" i="16"/>
  <c r="Y31" i="5"/>
  <c r="Y30" i="5"/>
  <c r="Y29" i="5"/>
  <c r="Y28" i="5"/>
  <c r="Y27" i="5"/>
  <c r="Y26" i="5"/>
  <c r="Y25" i="5"/>
  <c r="Y24" i="5"/>
  <c r="Y23" i="5"/>
  <c r="Y22" i="5"/>
  <c r="Y21" i="5"/>
  <c r="Y20" i="5"/>
  <c r="Y14" i="5"/>
  <c r="Y13" i="5"/>
  <c r="Y12" i="5"/>
  <c r="Y5" i="5"/>
  <c r="Y4" i="5"/>
  <c r="Y3" i="5"/>
  <c r="C52" i="5"/>
  <c r="C53" i="5" s="1"/>
  <c r="C54" i="5" s="1"/>
  <c r="C55" i="5" s="1"/>
  <c r="Z3" i="5" l="1"/>
  <c r="Z4" i="5" s="1"/>
  <c r="AG3" i="5" l="1"/>
  <c r="AH3" i="5"/>
  <c r="AG4" i="5"/>
  <c r="AH4" i="5"/>
  <c r="Z5" i="5"/>
  <c r="A3" i="5"/>
  <c r="C13" i="13"/>
  <c r="C12" i="13"/>
  <c r="C11" i="13"/>
  <c r="I9" i="13"/>
  <c r="H7" i="13"/>
  <c r="B7" i="13"/>
  <c r="M7" i="13"/>
  <c r="B8" i="13"/>
  <c r="I8" i="13"/>
  <c r="B9" i="13"/>
  <c r="D9" i="13"/>
  <c r="M9" i="13"/>
  <c r="C10" i="13"/>
  <c r="I10" i="13"/>
  <c r="L10" i="13"/>
  <c r="H13" i="13"/>
  <c r="AH5" i="5" l="1"/>
  <c r="Z6" i="5"/>
  <c r="Z7" i="5" s="1"/>
  <c r="A4" i="5"/>
  <c r="AG5" i="5"/>
  <c r="AG7" i="5" l="1"/>
  <c r="AH7" i="5"/>
  <c r="AH6" i="5"/>
  <c r="AG6" i="5"/>
  <c r="Z8" i="5"/>
  <c r="A5" i="5"/>
  <c r="AH8" i="5" l="1"/>
  <c r="AG8" i="5"/>
  <c r="Z9" i="5"/>
  <c r="Z31" i="5" s="1"/>
  <c r="A6" i="5"/>
  <c r="B4" i="5"/>
  <c r="AG31" i="5" l="1"/>
  <c r="AA31" i="5" s="1"/>
  <c r="AH31" i="5"/>
  <c r="Z34" i="5"/>
  <c r="Z29" i="5"/>
  <c r="Z30" i="5"/>
  <c r="Z35" i="5"/>
  <c r="Z37" i="5"/>
  <c r="Z33" i="5"/>
  <c r="Z32" i="5"/>
  <c r="Z36" i="5"/>
  <c r="B5" i="5"/>
  <c r="AG9" i="5"/>
  <c r="AH9" i="5"/>
  <c r="Z10" i="5"/>
  <c r="A7" i="5"/>
  <c r="B16" i="11"/>
  <c r="G30" i="1"/>
  <c r="F16" i="11"/>
  <c r="B8" i="11"/>
  <c r="F8" i="11" s="1"/>
  <c r="F6" i="11"/>
  <c r="B6" i="11"/>
  <c r="O44" i="5"/>
  <c r="F11" i="1"/>
  <c r="AH33" i="5" l="1"/>
  <c r="AG33" i="5"/>
  <c r="AA33" i="5" s="1"/>
  <c r="AG37" i="5"/>
  <c r="AA37" i="5" s="1"/>
  <c r="AH37" i="5"/>
  <c r="AH35" i="5"/>
  <c r="AG35" i="5"/>
  <c r="AA35" i="5" s="1"/>
  <c r="AH30" i="5"/>
  <c r="AG30" i="5"/>
  <c r="AA30" i="5" s="1"/>
  <c r="AH29" i="5"/>
  <c r="AG29" i="5"/>
  <c r="AA29" i="5" s="1"/>
  <c r="AH34" i="5"/>
  <c r="AG34" i="5"/>
  <c r="AA34" i="5" s="1"/>
  <c r="AH36" i="5"/>
  <c r="AG36" i="5"/>
  <c r="AA36" i="5" s="1"/>
  <c r="AH32" i="5"/>
  <c r="AG32" i="5"/>
  <c r="AA32" i="5" s="1"/>
  <c r="B6" i="5"/>
  <c r="Z11" i="5"/>
  <c r="Z12" i="5" s="1"/>
  <c r="AH10" i="5"/>
  <c r="AG10" i="5"/>
  <c r="A8" i="5"/>
  <c r="Z22" i="5"/>
  <c r="G35" i="1"/>
  <c r="B21" i="11" s="1"/>
  <c r="B7" i="5" l="1"/>
  <c r="Z13" i="5"/>
  <c r="AG13" i="5" s="1"/>
  <c r="AG11" i="5"/>
  <c r="AH11" i="5"/>
  <c r="AH12" i="5"/>
  <c r="AG12" i="5"/>
  <c r="AA12" i="5" s="1"/>
  <c r="A9" i="5"/>
  <c r="AH22" i="5"/>
  <c r="AG22" i="5"/>
  <c r="AA22" i="5" s="1"/>
  <c r="AA11" i="5" l="1"/>
  <c r="Z14" i="5"/>
  <c r="AH14" i="5" s="1"/>
  <c r="B8" i="5"/>
  <c r="AH13" i="5"/>
  <c r="Z15" i="5"/>
  <c r="AH15" i="5" s="1"/>
  <c r="A10" i="5"/>
  <c r="AG14" i="5" l="1"/>
  <c r="Z16" i="5"/>
  <c r="Z17" i="5" s="1"/>
  <c r="AH17" i="5" s="1"/>
  <c r="B9" i="5"/>
  <c r="AG15" i="5"/>
  <c r="A11" i="5"/>
  <c r="Z18" i="5" l="1"/>
  <c r="Z19" i="5" s="1"/>
  <c r="AH19" i="5" s="1"/>
  <c r="AA14" i="5"/>
  <c r="AG17" i="5"/>
  <c r="AA17" i="5" s="1"/>
  <c r="AG16" i="5"/>
  <c r="AA16" i="5" s="1"/>
  <c r="AH16" i="5"/>
  <c r="B10" i="5"/>
  <c r="Z20" i="5"/>
  <c r="Z23" i="5" s="1"/>
  <c r="Z21" i="5"/>
  <c r="A12" i="5"/>
  <c r="AG19" i="5" l="1"/>
  <c r="AA19" i="5" s="1"/>
  <c r="AH18" i="5"/>
  <c r="AG18" i="5"/>
  <c r="B11" i="5"/>
  <c r="AH23" i="5"/>
  <c r="AG23" i="5"/>
  <c r="AA23" i="5" s="1"/>
  <c r="Z24" i="5"/>
  <c r="Z25" i="5" s="1"/>
  <c r="AH20" i="5"/>
  <c r="AG20" i="5"/>
  <c r="AA20" i="5" s="1"/>
  <c r="AG21" i="5"/>
  <c r="AH21" i="5"/>
  <c r="AB22" i="5"/>
  <c r="A13" i="5"/>
  <c r="B12" i="5" l="1"/>
  <c r="AG24" i="5"/>
  <c r="AA24" i="5" s="1"/>
  <c r="AH24" i="5"/>
  <c r="AH25" i="5"/>
  <c r="AG25" i="5"/>
  <c r="AA25" i="5" s="1"/>
  <c r="Z26" i="5"/>
  <c r="Z27" i="5" s="1"/>
  <c r="AC22" i="5"/>
  <c r="A14" i="5"/>
  <c r="Z28" i="5" l="1"/>
  <c r="B13" i="5"/>
  <c r="AG27" i="5"/>
  <c r="AA27" i="5" s="1"/>
  <c r="AH27" i="5"/>
  <c r="AH26" i="5"/>
  <c r="AG26" i="5"/>
  <c r="AA26" i="5" s="1"/>
  <c r="AD22" i="5"/>
  <c r="A15" i="5"/>
  <c r="AG28" i="5" l="1"/>
  <c r="AH28" i="5"/>
  <c r="Z38" i="5"/>
  <c r="AH38" i="5" s="1"/>
  <c r="B14" i="5"/>
  <c r="A16" i="5"/>
  <c r="AB36" i="5"/>
  <c r="AC36" i="5" s="1"/>
  <c r="AD36" i="5" s="1"/>
  <c r="AE36" i="5" s="1"/>
  <c r="AB34" i="5"/>
  <c r="AC34" i="5" s="1"/>
  <c r="AD34" i="5" s="1"/>
  <c r="AE34" i="5" s="1"/>
  <c r="AB32" i="5"/>
  <c r="AC32" i="5" s="1"/>
  <c r="AD32" i="5" s="1"/>
  <c r="AE32" i="5" s="1"/>
  <c r="AB30" i="5"/>
  <c r="AC30" i="5" s="1"/>
  <c r="AD30" i="5" s="1"/>
  <c r="AE30" i="5" s="1"/>
  <c r="AB37" i="5"/>
  <c r="AC37" i="5" s="1"/>
  <c r="AD37" i="5" s="1"/>
  <c r="AE37" i="5" s="1"/>
  <c r="AB35" i="5"/>
  <c r="AC35" i="5" s="1"/>
  <c r="AD35" i="5" s="1"/>
  <c r="AE35" i="5" s="1"/>
  <c r="AB33" i="5"/>
  <c r="AC33" i="5" s="1"/>
  <c r="AD33" i="5" s="1"/>
  <c r="AE33" i="5" s="1"/>
  <c r="AB31" i="5"/>
  <c r="AC31" i="5" s="1"/>
  <c r="AD31" i="5" s="1"/>
  <c r="AE31" i="5" s="1"/>
  <c r="AB29" i="5"/>
  <c r="AC29" i="5" s="1"/>
  <c r="AD29" i="5" s="1"/>
  <c r="AE29" i="5" s="1"/>
  <c r="AE22" i="5"/>
  <c r="AG38" i="5" l="1"/>
  <c r="AA28" i="5"/>
  <c r="AB28" i="5" s="1"/>
  <c r="AC28" i="5" s="1"/>
  <c r="AD28" i="5" s="1"/>
  <c r="AE28" i="5" s="1"/>
  <c r="AA18" i="5"/>
  <c r="AA6" i="5"/>
  <c r="B15" i="5"/>
  <c r="AA4" i="5"/>
  <c r="A17" i="5"/>
  <c r="AB23" i="5"/>
  <c r="AB17" i="5"/>
  <c r="AB20" i="5"/>
  <c r="AB11" i="5"/>
  <c r="AB12" i="5"/>
  <c r="AB19" i="5"/>
  <c r="AB25" i="5"/>
  <c r="AB16" i="5"/>
  <c r="AB24" i="5"/>
  <c r="AB26" i="5"/>
  <c r="AB14" i="5"/>
  <c r="AB27" i="5"/>
  <c r="AA38" i="5" l="1"/>
  <c r="AA9" i="5"/>
  <c r="AA7" i="5"/>
  <c r="AA8" i="5"/>
  <c r="AA15" i="5"/>
  <c r="AA3" i="5"/>
  <c r="AB3" i="5" s="1"/>
  <c r="AC3" i="5" s="1"/>
  <c r="AD3" i="5" s="1"/>
  <c r="AE3" i="5" s="1"/>
  <c r="AA5" i="5"/>
  <c r="AA21" i="5"/>
  <c r="AA10" i="5"/>
  <c r="AA13" i="5"/>
  <c r="B16" i="5"/>
  <c r="AC11" i="5"/>
  <c r="AC23" i="5"/>
  <c r="AC17" i="5"/>
  <c r="AC20" i="5"/>
  <c r="A18" i="5"/>
  <c r="AC14" i="5"/>
  <c r="AC16" i="5"/>
  <c r="AC19" i="5"/>
  <c r="AC25" i="5"/>
  <c r="AC26" i="5"/>
  <c r="AC27" i="5"/>
  <c r="AC24" i="5"/>
  <c r="AC12" i="5"/>
  <c r="AB5" i="5" l="1"/>
  <c r="AB9" i="5"/>
  <c r="AB6" i="5"/>
  <c r="AB15" i="5"/>
  <c r="AB8" i="5"/>
  <c r="AB4" i="5"/>
  <c r="AC4" i="5" s="1"/>
  <c r="AD4" i="5" s="1"/>
  <c r="AE4" i="5" s="1"/>
  <c r="AB21" i="5"/>
  <c r="AB13" i="5"/>
  <c r="AB38" i="5"/>
  <c r="AB10" i="5"/>
  <c r="AB7" i="5"/>
  <c r="AC7" i="5" s="1"/>
  <c r="AB18" i="5"/>
  <c r="B17" i="5"/>
  <c r="A19" i="5"/>
  <c r="AD23" i="5"/>
  <c r="AD20" i="5"/>
  <c r="AD17" i="5"/>
  <c r="AD11" i="5"/>
  <c r="AD12" i="5"/>
  <c r="AD26" i="5"/>
  <c r="AD19" i="5"/>
  <c r="AD14" i="5"/>
  <c r="AD16" i="5"/>
  <c r="AD24" i="5"/>
  <c r="AD25" i="5"/>
  <c r="AD27" i="5"/>
  <c r="AC9" i="5" l="1"/>
  <c r="AC5" i="5"/>
  <c r="AD5" i="5" s="1"/>
  <c r="AE5" i="5" s="1"/>
  <c r="AC8" i="5"/>
  <c r="AC6" i="5"/>
  <c r="AD6" i="5" s="1"/>
  <c r="AE6" i="5" s="1"/>
  <c r="AC15" i="5"/>
  <c r="AD15" i="5" s="1"/>
  <c r="AC10" i="5"/>
  <c r="AD10" i="5" s="1"/>
  <c r="AE10" i="5" s="1"/>
  <c r="AC38" i="5"/>
  <c r="AC18" i="5"/>
  <c r="AC13" i="5"/>
  <c r="AD13" i="5" s="1"/>
  <c r="AE13" i="5" s="1"/>
  <c r="AC21" i="5"/>
  <c r="B18" i="5"/>
  <c r="AE11" i="5"/>
  <c r="AE23" i="5"/>
  <c r="A20" i="5"/>
  <c r="AE17" i="5"/>
  <c r="AE20" i="5"/>
  <c r="AE14" i="5"/>
  <c r="AE27" i="5"/>
  <c r="AE24" i="5"/>
  <c r="AE19" i="5"/>
  <c r="AE26" i="5"/>
  <c r="AE16" i="5"/>
  <c r="AE25" i="5"/>
  <c r="AE12" i="5"/>
  <c r="AD9" i="5" l="1"/>
  <c r="AD7" i="5"/>
  <c r="AE7" i="5" s="1"/>
  <c r="AD8" i="5"/>
  <c r="AE8" i="5" s="1"/>
  <c r="AD21" i="5"/>
  <c r="AD18" i="5"/>
  <c r="AE18" i="5" s="1"/>
  <c r="AD38" i="5"/>
  <c r="B19" i="5"/>
  <c r="A21" i="5"/>
  <c r="AE9" i="5" l="1"/>
  <c r="AE15" i="5"/>
  <c r="AE38" i="5"/>
  <c r="AE21" i="5"/>
  <c r="B20" i="5"/>
  <c r="A22" i="5"/>
  <c r="S17" i="16" l="1"/>
  <c r="S82" i="16"/>
  <c r="S27" i="16"/>
  <c r="S86" i="16"/>
  <c r="S22" i="16"/>
  <c r="S23" i="16"/>
  <c r="S90" i="16"/>
  <c r="S89" i="16"/>
  <c r="P29" i="13"/>
  <c r="P22" i="13"/>
  <c r="P33" i="13"/>
  <c r="P24" i="13"/>
  <c r="P27" i="13"/>
  <c r="P30" i="13"/>
  <c r="S79" i="16"/>
  <c r="S75" i="16"/>
  <c r="S78" i="16"/>
  <c r="S83" i="16"/>
  <c r="S81" i="16"/>
  <c r="S21" i="16"/>
  <c r="P28" i="13"/>
  <c r="P32" i="13"/>
  <c r="S29" i="16"/>
  <c r="S18" i="16"/>
  <c r="S85" i="16"/>
  <c r="S93" i="16"/>
  <c r="P19" i="13"/>
  <c r="P25" i="13"/>
  <c r="S28" i="16"/>
  <c r="S87" i="16"/>
  <c r="S88" i="16"/>
  <c r="S80" i="16"/>
  <c r="S74" i="16"/>
  <c r="S94" i="16"/>
  <c r="S84" i="16"/>
  <c r="S26" i="16"/>
  <c r="S24" i="16"/>
  <c r="P36" i="13"/>
  <c r="P23" i="13"/>
  <c r="P20" i="13"/>
  <c r="P17" i="13"/>
  <c r="P35" i="13"/>
  <c r="S19" i="16"/>
  <c r="S25" i="16"/>
  <c r="P21" i="13"/>
  <c r="P26" i="13"/>
  <c r="P31" i="13"/>
  <c r="P34" i="13"/>
  <c r="S20" i="16"/>
  <c r="S92" i="16"/>
  <c r="S77" i="16"/>
  <c r="S76" i="16"/>
  <c r="P37" i="13"/>
  <c r="P18" i="13"/>
  <c r="S91" i="16"/>
  <c r="B21" i="5"/>
  <c r="B22" i="5" s="1"/>
  <c r="B23" i="5" s="1"/>
  <c r="B24" i="5" s="1"/>
  <c r="B25" i="5" s="1"/>
  <c r="B26" i="5" s="1"/>
  <c r="B27" i="5" s="1"/>
  <c r="B28" i="5" s="1"/>
  <c r="B29" i="5" s="1"/>
  <c r="B30" i="5" s="1"/>
  <c r="B31" i="5" s="1"/>
  <c r="A23" i="5"/>
  <c r="H37" i="16" l="1"/>
  <c r="H36" i="16"/>
  <c r="H40" i="16"/>
  <c r="H39" i="16"/>
  <c r="H38" i="16"/>
  <c r="H35" i="16"/>
  <c r="B32" i="5"/>
  <c r="B33" i="5" s="1"/>
  <c r="B34" i="5" s="1"/>
  <c r="B35" i="5" s="1"/>
  <c r="B36" i="5" s="1"/>
  <c r="B37" i="5" s="1"/>
  <c r="A106" i="16" s="1"/>
  <c r="A20" i="16"/>
  <c r="C20" i="16"/>
  <c r="A25" i="16"/>
  <c r="C25" i="16"/>
  <c r="A20" i="13"/>
  <c r="C20" i="13"/>
  <c r="C26" i="16"/>
  <c r="A26" i="16"/>
  <c r="C85" i="16"/>
  <c r="A85" i="16"/>
  <c r="C32" i="13"/>
  <c r="A32" i="13"/>
  <c r="A79" i="16"/>
  <c r="C79" i="16"/>
  <c r="C30" i="13"/>
  <c r="A30" i="13"/>
  <c r="A89" i="16"/>
  <c r="C89" i="16"/>
  <c r="A18" i="13"/>
  <c r="C18" i="13"/>
  <c r="A76" i="16"/>
  <c r="C76" i="16"/>
  <c r="C34" i="13"/>
  <c r="A34" i="13"/>
  <c r="A21" i="13"/>
  <c r="C21" i="13"/>
  <c r="C19" i="16"/>
  <c r="A19" i="16"/>
  <c r="A23" i="13"/>
  <c r="C23" i="13"/>
  <c r="A84" i="16"/>
  <c r="C84" i="16"/>
  <c r="C88" i="16"/>
  <c r="A88" i="16"/>
  <c r="A25" i="13"/>
  <c r="C25" i="13"/>
  <c r="C18" i="16"/>
  <c r="A18" i="16"/>
  <c r="C83" i="16"/>
  <c r="A83" i="16"/>
  <c r="A27" i="13"/>
  <c r="C27" i="13"/>
  <c r="A33" i="13"/>
  <c r="C33" i="13"/>
  <c r="C90" i="16"/>
  <c r="A90" i="16"/>
  <c r="A27" i="16"/>
  <c r="C27" i="16"/>
  <c r="A80" i="16"/>
  <c r="C80" i="16"/>
  <c r="C81" i="16"/>
  <c r="A81" i="16"/>
  <c r="C86" i="16"/>
  <c r="A86" i="16"/>
  <c r="C91" i="16"/>
  <c r="A91" i="16"/>
  <c r="C77" i="16"/>
  <c r="A77" i="16"/>
  <c r="A31" i="13"/>
  <c r="C31" i="13"/>
  <c r="A35" i="13"/>
  <c r="C35" i="13"/>
  <c r="A36" i="13"/>
  <c r="C36" i="13"/>
  <c r="C94" i="16"/>
  <c r="A94" i="16"/>
  <c r="A87" i="16"/>
  <c r="C87" i="16"/>
  <c r="A19" i="13"/>
  <c r="C19" i="13"/>
  <c r="C29" i="16"/>
  <c r="A29" i="16"/>
  <c r="A28" i="13"/>
  <c r="C28" i="13"/>
  <c r="C78" i="16"/>
  <c r="A78" i="16"/>
  <c r="A29" i="13"/>
  <c r="C29" i="13"/>
  <c r="A23" i="16"/>
  <c r="C23" i="16"/>
  <c r="C82" i="16"/>
  <c r="A82" i="16"/>
  <c r="A37" i="13"/>
  <c r="C37" i="13"/>
  <c r="C92" i="16"/>
  <c r="A92" i="16"/>
  <c r="C26" i="13"/>
  <c r="A26" i="13"/>
  <c r="C17" i="13"/>
  <c r="A17" i="13"/>
  <c r="A24" i="16"/>
  <c r="C24" i="16"/>
  <c r="C74" i="16"/>
  <c r="A74" i="16"/>
  <c r="C28" i="16"/>
  <c r="A28" i="16"/>
  <c r="C93" i="16"/>
  <c r="A93" i="16"/>
  <c r="A21" i="16"/>
  <c r="C21" i="16"/>
  <c r="A75" i="16"/>
  <c r="C75" i="16"/>
  <c r="C24" i="13"/>
  <c r="A24" i="13"/>
  <c r="C22" i="13"/>
  <c r="A22" i="13"/>
  <c r="C22" i="16"/>
  <c r="A22" i="16"/>
  <c r="C17" i="16"/>
  <c r="A17" i="16"/>
  <c r="F39" i="16"/>
  <c r="D37" i="16"/>
  <c r="E38" i="16"/>
  <c r="B40" i="16"/>
  <c r="G39" i="16"/>
  <c r="A36" i="16"/>
  <c r="G36" i="16"/>
  <c r="F37" i="16"/>
  <c r="E37" i="16"/>
  <c r="B38" i="16"/>
  <c r="A40" i="16"/>
  <c r="D35" i="16"/>
  <c r="G38" i="16"/>
  <c r="C37" i="16"/>
  <c r="B36" i="16"/>
  <c r="B39" i="16"/>
  <c r="F38" i="16"/>
  <c r="E36" i="16"/>
  <c r="C36" i="16"/>
  <c r="E39" i="16"/>
  <c r="F35" i="16"/>
  <c r="D38" i="16"/>
  <c r="E35" i="16"/>
  <c r="D39" i="16"/>
  <c r="B35" i="16"/>
  <c r="F36" i="16"/>
  <c r="D36" i="16"/>
  <c r="C35" i="16"/>
  <c r="C38" i="16"/>
  <c r="G37" i="16"/>
  <c r="G35" i="16"/>
  <c r="C39" i="16"/>
  <c r="B37" i="16"/>
  <c r="F43" i="13"/>
  <c r="B49" i="13"/>
  <c r="F55" i="13"/>
  <c r="F47" i="13"/>
  <c r="B56" i="13"/>
  <c r="A42" i="13"/>
  <c r="A37" i="16"/>
  <c r="A38" i="16"/>
  <c r="F45" i="13"/>
  <c r="F54" i="13"/>
  <c r="B42" i="13"/>
  <c r="B55" i="13"/>
  <c r="B43" i="13"/>
  <c r="B47" i="13"/>
  <c r="B50" i="13"/>
  <c r="A45" i="13"/>
  <c r="A52" i="13"/>
  <c r="B52" i="13"/>
  <c r="A47" i="13"/>
  <c r="B54" i="13"/>
  <c r="B48" i="13"/>
  <c r="A44" i="13"/>
  <c r="A53" i="13"/>
  <c r="F50" i="13"/>
  <c r="F49" i="13"/>
  <c r="A49" i="13"/>
  <c r="F42" i="13"/>
  <c r="A55" i="13"/>
  <c r="F48" i="13"/>
  <c r="F53" i="13"/>
  <c r="A56" i="13"/>
  <c r="A48" i="13"/>
  <c r="A54" i="13"/>
  <c r="B46" i="13"/>
  <c r="F51" i="13"/>
  <c r="F44" i="13"/>
  <c r="F52" i="13"/>
  <c r="B51" i="13"/>
  <c r="B45" i="13"/>
  <c r="A46" i="13"/>
  <c r="F56" i="13"/>
  <c r="B44" i="13"/>
  <c r="A35" i="16"/>
  <c r="A51" i="13"/>
  <c r="A50" i="13"/>
  <c r="F46" i="13"/>
  <c r="A43" i="13"/>
  <c r="B53" i="13"/>
  <c r="A39" i="16"/>
  <c r="A24" i="5"/>
  <c r="H102" i="16" l="1"/>
  <c r="B105" i="16"/>
  <c r="F103" i="16"/>
  <c r="A101" i="16"/>
  <c r="B113" i="16"/>
  <c r="D100" i="16"/>
  <c r="F105" i="16"/>
  <c r="C103" i="16"/>
  <c r="E102" i="16"/>
  <c r="D110" i="16"/>
  <c r="A109" i="16"/>
  <c r="G103" i="16"/>
  <c r="B112" i="16"/>
  <c r="E108" i="16"/>
  <c r="H113" i="16"/>
  <c r="B107" i="16"/>
  <c r="C99" i="16"/>
  <c r="H112" i="16"/>
  <c r="H101" i="16"/>
  <c r="T100" i="16"/>
  <c r="F99" i="16"/>
  <c r="B110" i="16"/>
  <c r="G111" i="16"/>
  <c r="H108" i="16"/>
  <c r="G108" i="16"/>
  <c r="E113" i="16"/>
  <c r="H99" i="16"/>
  <c r="F102" i="16"/>
  <c r="C107" i="16"/>
  <c r="B104" i="16"/>
  <c r="B111" i="16"/>
  <c r="B100" i="16"/>
  <c r="E104" i="16"/>
  <c r="G110" i="16"/>
  <c r="D109" i="16"/>
  <c r="F108" i="16"/>
  <c r="D99" i="16"/>
  <c r="F112" i="16"/>
  <c r="D103" i="16"/>
  <c r="E110" i="16"/>
  <c r="G112" i="16"/>
  <c r="C101" i="16"/>
  <c r="B102" i="16"/>
  <c r="G106" i="16"/>
  <c r="D111" i="16"/>
  <c r="H106" i="16"/>
  <c r="E101" i="16"/>
  <c r="D107" i="16"/>
  <c r="H103" i="16"/>
  <c r="G113" i="16"/>
  <c r="G104" i="16"/>
  <c r="A107" i="16"/>
  <c r="E109" i="16"/>
  <c r="B106" i="16"/>
  <c r="A111" i="16"/>
  <c r="F101" i="16"/>
  <c r="F110" i="16"/>
  <c r="B99" i="16"/>
  <c r="C113" i="16"/>
  <c r="G101" i="16"/>
  <c r="B103" i="16"/>
  <c r="C102" i="16"/>
  <c r="A108" i="16"/>
  <c r="H111" i="16"/>
  <c r="S100" i="16"/>
  <c r="B108" i="16"/>
  <c r="H104" i="16"/>
  <c r="A100" i="16"/>
  <c r="B101" i="16"/>
  <c r="C111" i="16"/>
  <c r="H105" i="16"/>
  <c r="F100" i="16"/>
  <c r="A102" i="16"/>
  <c r="G99" i="16"/>
  <c r="D104" i="16"/>
  <c r="C112" i="16"/>
  <c r="D101" i="16"/>
  <c r="F111" i="16"/>
  <c r="G107" i="16"/>
  <c r="C104" i="16"/>
  <c r="A113" i="16"/>
  <c r="D108" i="16"/>
  <c r="G102" i="16"/>
  <c r="E105" i="16"/>
  <c r="C109" i="16"/>
  <c r="C100" i="16"/>
  <c r="A104" i="16"/>
  <c r="E100" i="16"/>
  <c r="E112" i="16"/>
  <c r="A110" i="16"/>
  <c r="D113" i="16"/>
  <c r="G100" i="16"/>
  <c r="A103" i="16"/>
  <c r="G105" i="16"/>
  <c r="F106" i="16"/>
  <c r="C105" i="16"/>
  <c r="A105" i="16"/>
  <c r="E106" i="16"/>
  <c r="E107" i="16"/>
  <c r="E103" i="16"/>
  <c r="D106" i="16"/>
  <c r="D102" i="16"/>
  <c r="A112" i="16"/>
  <c r="H107" i="16"/>
  <c r="B109" i="16"/>
  <c r="E111" i="16"/>
  <c r="H110" i="16"/>
  <c r="H100" i="16"/>
  <c r="C108" i="16"/>
  <c r="E99" i="16"/>
  <c r="D105" i="16"/>
  <c r="F104" i="16"/>
  <c r="D112" i="16"/>
  <c r="F107" i="16"/>
  <c r="G109" i="16"/>
  <c r="A99" i="16"/>
  <c r="F109" i="16"/>
  <c r="F113" i="16"/>
  <c r="C110" i="16"/>
  <c r="H109" i="16"/>
  <c r="C106" i="16"/>
  <c r="I22" i="16"/>
  <c r="M36" i="13"/>
  <c r="I27" i="16"/>
  <c r="H17" i="16"/>
  <c r="F17" i="16" s="1"/>
  <c r="I28" i="13"/>
  <c r="J93" i="16"/>
  <c r="H93" i="16"/>
  <c r="F93" i="16" s="1"/>
  <c r="N93" i="16"/>
  <c r="B93" i="16"/>
  <c r="K93" i="16"/>
  <c r="L93" i="16"/>
  <c r="M93" i="16"/>
  <c r="I93" i="16"/>
  <c r="H28" i="16"/>
  <c r="F28" i="16" s="1"/>
  <c r="I28" i="16"/>
  <c r="M28" i="16"/>
  <c r="L28" i="16"/>
  <c r="K28" i="16"/>
  <c r="N28" i="16"/>
  <c r="B28" i="16"/>
  <c r="J28" i="16"/>
  <c r="K17" i="13"/>
  <c r="L17" i="13"/>
  <c r="J17" i="13"/>
  <c r="H17" i="13"/>
  <c r="I17" i="13"/>
  <c r="B17" i="13"/>
  <c r="M17" i="13"/>
  <c r="N29" i="16"/>
  <c r="K29" i="16"/>
  <c r="M29" i="16"/>
  <c r="I29" i="16"/>
  <c r="B29" i="16"/>
  <c r="J29" i="16"/>
  <c r="L29" i="16"/>
  <c r="H29" i="16"/>
  <c r="F29" i="16" s="1"/>
  <c r="L90" i="16"/>
  <c r="N90" i="16"/>
  <c r="I90" i="16"/>
  <c r="B90" i="16"/>
  <c r="K90" i="16"/>
  <c r="M90" i="16"/>
  <c r="H90" i="16"/>
  <c r="F90" i="16" s="1"/>
  <c r="J90" i="16"/>
  <c r="M18" i="16"/>
  <c r="N18" i="16"/>
  <c r="I18" i="16"/>
  <c r="K18" i="16"/>
  <c r="H18" i="16"/>
  <c r="F18" i="16" s="1"/>
  <c r="J18" i="16"/>
  <c r="L18" i="16"/>
  <c r="B18" i="16"/>
  <c r="J19" i="16"/>
  <c r="N19" i="16"/>
  <c r="I19" i="16"/>
  <c r="B19" i="16"/>
  <c r="M19" i="16"/>
  <c r="L19" i="16"/>
  <c r="K19" i="16"/>
  <c r="H19" i="16"/>
  <c r="F19" i="16" s="1"/>
  <c r="M30" i="13"/>
  <c r="L30" i="13"/>
  <c r="K30" i="13"/>
  <c r="H30" i="13"/>
  <c r="J30" i="13"/>
  <c r="I30" i="13"/>
  <c r="B30" i="13"/>
  <c r="N24" i="16"/>
  <c r="M24" i="16"/>
  <c r="J24" i="16"/>
  <c r="B24" i="16"/>
  <c r="L24" i="16"/>
  <c r="I24" i="16"/>
  <c r="K24" i="16"/>
  <c r="H24" i="16"/>
  <c r="F24" i="16" s="1"/>
  <c r="L29" i="13"/>
  <c r="M29" i="13"/>
  <c r="J29" i="13"/>
  <c r="I29" i="13"/>
  <c r="H29" i="13"/>
  <c r="K29" i="13"/>
  <c r="B29" i="13"/>
  <c r="I84" i="16"/>
  <c r="K84" i="16"/>
  <c r="H84" i="16"/>
  <c r="F84" i="16" s="1"/>
  <c r="B84" i="16"/>
  <c r="M84" i="16"/>
  <c r="L84" i="16"/>
  <c r="N84" i="16"/>
  <c r="J84" i="16"/>
  <c r="I18" i="13"/>
  <c r="H18" i="13"/>
  <c r="M18" i="13"/>
  <c r="K18" i="13"/>
  <c r="L18" i="13"/>
  <c r="J18" i="13"/>
  <c r="B18" i="13"/>
  <c r="J22" i="16"/>
  <c r="H22" i="16"/>
  <c r="F22" i="16" s="1"/>
  <c r="N22" i="16"/>
  <c r="M22" i="16"/>
  <c r="B22" i="16"/>
  <c r="L22" i="16"/>
  <c r="K22" i="16"/>
  <c r="N74" i="16"/>
  <c r="B74" i="16"/>
  <c r="L74" i="16"/>
  <c r="K74" i="16"/>
  <c r="J74" i="16"/>
  <c r="M74" i="16"/>
  <c r="H74" i="16"/>
  <c r="I74" i="16"/>
  <c r="L26" i="13"/>
  <c r="I26" i="13"/>
  <c r="B26" i="13"/>
  <c r="K26" i="13"/>
  <c r="H26" i="13"/>
  <c r="M26" i="13"/>
  <c r="J26" i="13"/>
  <c r="B78" i="16"/>
  <c r="M78" i="16"/>
  <c r="N78" i="16"/>
  <c r="L78" i="16"/>
  <c r="J78" i="16"/>
  <c r="H78" i="16"/>
  <c r="F78" i="16" s="1"/>
  <c r="I78" i="16"/>
  <c r="K78" i="16"/>
  <c r="N77" i="16"/>
  <c r="L77" i="16"/>
  <c r="B77" i="16"/>
  <c r="M77" i="16"/>
  <c r="I77" i="16"/>
  <c r="K77" i="16"/>
  <c r="H77" i="16"/>
  <c r="F77" i="16" s="1"/>
  <c r="J77" i="16"/>
  <c r="N91" i="16"/>
  <c r="I91" i="16"/>
  <c r="H91" i="16"/>
  <c r="F91" i="16" s="1"/>
  <c r="L91" i="16"/>
  <c r="B91" i="16"/>
  <c r="M91" i="16"/>
  <c r="J91" i="16"/>
  <c r="K91" i="16"/>
  <c r="J81" i="16"/>
  <c r="B81" i="16"/>
  <c r="K81" i="16"/>
  <c r="M81" i="16"/>
  <c r="I81" i="16"/>
  <c r="H81" i="16"/>
  <c r="F81" i="16" s="1"/>
  <c r="N81" i="16"/>
  <c r="L81" i="16"/>
  <c r="J83" i="16"/>
  <c r="I83" i="16"/>
  <c r="L83" i="16"/>
  <c r="N83" i="16"/>
  <c r="H83" i="16"/>
  <c r="F83" i="16" s="1"/>
  <c r="M83" i="16"/>
  <c r="K83" i="16"/>
  <c r="B83" i="16"/>
  <c r="I88" i="16"/>
  <c r="K88" i="16"/>
  <c r="N88" i="16"/>
  <c r="H88" i="16"/>
  <c r="F88" i="16" s="1"/>
  <c r="L88" i="16"/>
  <c r="B88" i="16"/>
  <c r="J88" i="16"/>
  <c r="M88" i="16"/>
  <c r="M85" i="16"/>
  <c r="B85" i="16"/>
  <c r="K85" i="16"/>
  <c r="L85" i="16"/>
  <c r="I85" i="16"/>
  <c r="H85" i="16"/>
  <c r="F85" i="16" s="1"/>
  <c r="N85" i="16"/>
  <c r="J85" i="16"/>
  <c r="N17" i="16"/>
  <c r="L17" i="16"/>
  <c r="I17" i="16"/>
  <c r="K17" i="16"/>
  <c r="J17" i="16"/>
  <c r="M17" i="16"/>
  <c r="L24" i="13"/>
  <c r="K24" i="13"/>
  <c r="H24" i="13"/>
  <c r="J24" i="13"/>
  <c r="B24" i="13"/>
  <c r="I24" i="13"/>
  <c r="M24" i="13"/>
  <c r="L92" i="16"/>
  <c r="B92" i="16"/>
  <c r="M92" i="16"/>
  <c r="J92" i="16"/>
  <c r="N92" i="16"/>
  <c r="K92" i="16"/>
  <c r="H92" i="16"/>
  <c r="F92" i="16" s="1"/>
  <c r="I92" i="16"/>
  <c r="N82" i="16"/>
  <c r="J82" i="16"/>
  <c r="B82" i="16"/>
  <c r="I82" i="16"/>
  <c r="H82" i="16"/>
  <c r="F82" i="16" s="1"/>
  <c r="M82" i="16"/>
  <c r="L82" i="16"/>
  <c r="K82" i="16"/>
  <c r="L94" i="16"/>
  <c r="K94" i="16"/>
  <c r="I94" i="16"/>
  <c r="N94" i="16"/>
  <c r="B94" i="16"/>
  <c r="J94" i="16"/>
  <c r="M94" i="16"/>
  <c r="H94" i="16"/>
  <c r="F94" i="16" s="1"/>
  <c r="J86" i="16"/>
  <c r="L86" i="16"/>
  <c r="B86" i="16"/>
  <c r="K86" i="16"/>
  <c r="H86" i="16"/>
  <c r="F86" i="16" s="1"/>
  <c r="M86" i="16"/>
  <c r="N86" i="16"/>
  <c r="I86" i="16"/>
  <c r="H34" i="13"/>
  <c r="J34" i="13"/>
  <c r="I34" i="13"/>
  <c r="B34" i="13"/>
  <c r="L34" i="13"/>
  <c r="K34" i="13"/>
  <c r="M34" i="13"/>
  <c r="L32" i="13"/>
  <c r="K32" i="13"/>
  <c r="H32" i="13"/>
  <c r="M32" i="13"/>
  <c r="I32" i="13"/>
  <c r="B32" i="13"/>
  <c r="J32" i="13"/>
  <c r="H26" i="16"/>
  <c r="F26" i="16" s="1"/>
  <c r="L26" i="16"/>
  <c r="I26" i="16"/>
  <c r="J26" i="16"/>
  <c r="N26" i="16"/>
  <c r="M26" i="16"/>
  <c r="B26" i="16"/>
  <c r="K26" i="16"/>
  <c r="K75" i="16"/>
  <c r="M75" i="16"/>
  <c r="B75" i="16"/>
  <c r="I75" i="16"/>
  <c r="L75" i="16"/>
  <c r="H75" i="16"/>
  <c r="F75" i="16" s="1"/>
  <c r="N75" i="16"/>
  <c r="J75" i="16"/>
  <c r="K28" i="13"/>
  <c r="J28" i="13"/>
  <c r="H28" i="13"/>
  <c r="F28" i="13" s="1"/>
  <c r="L28" i="13"/>
  <c r="B28" i="13"/>
  <c r="M28" i="13"/>
  <c r="H31" i="13"/>
  <c r="K31" i="13"/>
  <c r="L31" i="13"/>
  <c r="I31" i="13"/>
  <c r="B31" i="13"/>
  <c r="J31" i="13"/>
  <c r="M31" i="13"/>
  <c r="L33" i="13"/>
  <c r="K33" i="13"/>
  <c r="H33" i="13"/>
  <c r="B33" i="13"/>
  <c r="J33" i="13"/>
  <c r="M33" i="13"/>
  <c r="I33" i="13"/>
  <c r="L25" i="13"/>
  <c r="M25" i="13"/>
  <c r="J25" i="13"/>
  <c r="B25" i="13"/>
  <c r="H25" i="13"/>
  <c r="I25" i="13"/>
  <c r="K25" i="13"/>
  <c r="I23" i="13"/>
  <c r="L23" i="13"/>
  <c r="J23" i="13"/>
  <c r="H23" i="13"/>
  <c r="B23" i="13"/>
  <c r="K23" i="13"/>
  <c r="M23" i="13"/>
  <c r="J25" i="16"/>
  <c r="I25" i="16"/>
  <c r="H25" i="16"/>
  <c r="F25" i="16" s="1"/>
  <c r="N25" i="16"/>
  <c r="K25" i="16"/>
  <c r="B25" i="16"/>
  <c r="M25" i="16"/>
  <c r="L25" i="16"/>
  <c r="H22" i="13"/>
  <c r="K22" i="13"/>
  <c r="B22" i="13"/>
  <c r="J22" i="13"/>
  <c r="M22" i="13"/>
  <c r="I22" i="13"/>
  <c r="L22" i="13"/>
  <c r="K21" i="16"/>
  <c r="M21" i="16"/>
  <c r="N21" i="16"/>
  <c r="H21" i="16"/>
  <c r="F21" i="16" s="1"/>
  <c r="B21" i="16"/>
  <c r="J21" i="16"/>
  <c r="L21" i="16"/>
  <c r="I21" i="16"/>
  <c r="K37" i="13"/>
  <c r="B37" i="13"/>
  <c r="J37" i="13"/>
  <c r="M37" i="13"/>
  <c r="I37" i="13"/>
  <c r="H37" i="13"/>
  <c r="L37" i="13"/>
  <c r="J23" i="16"/>
  <c r="N23" i="16"/>
  <c r="M23" i="16"/>
  <c r="K23" i="16"/>
  <c r="I23" i="16"/>
  <c r="H23" i="16"/>
  <c r="F23" i="16" s="1"/>
  <c r="L23" i="16"/>
  <c r="B23" i="16"/>
  <c r="M19" i="13"/>
  <c r="B19" i="13"/>
  <c r="K19" i="13"/>
  <c r="I19" i="13"/>
  <c r="J19" i="13"/>
  <c r="L19" i="13"/>
  <c r="H19" i="13"/>
  <c r="K87" i="16"/>
  <c r="L87" i="16"/>
  <c r="J87" i="16"/>
  <c r="B87" i="16"/>
  <c r="H87" i="16"/>
  <c r="F87" i="16" s="1"/>
  <c r="N87" i="16"/>
  <c r="M87" i="16"/>
  <c r="I87" i="16"/>
  <c r="B36" i="13"/>
  <c r="H36" i="13"/>
  <c r="L36" i="13"/>
  <c r="K36" i="13"/>
  <c r="I36" i="13"/>
  <c r="J36" i="13"/>
  <c r="B35" i="13"/>
  <c r="H35" i="13"/>
  <c r="L35" i="13"/>
  <c r="K35" i="13"/>
  <c r="M35" i="13"/>
  <c r="I35" i="13"/>
  <c r="J35" i="13"/>
  <c r="L80" i="16"/>
  <c r="N80" i="16"/>
  <c r="J80" i="16"/>
  <c r="M80" i="16"/>
  <c r="B80" i="16"/>
  <c r="I80" i="16"/>
  <c r="K80" i="16"/>
  <c r="H80" i="16"/>
  <c r="F80" i="16" s="1"/>
  <c r="J27" i="16"/>
  <c r="N27" i="16"/>
  <c r="K27" i="16"/>
  <c r="M27" i="16"/>
  <c r="L27" i="16"/>
  <c r="H27" i="16"/>
  <c r="F27" i="16" s="1"/>
  <c r="B27" i="16"/>
  <c r="K27" i="13"/>
  <c r="J27" i="13"/>
  <c r="H27" i="13"/>
  <c r="L27" i="13"/>
  <c r="B27" i="13"/>
  <c r="I27" i="13"/>
  <c r="M27" i="13"/>
  <c r="I21" i="13"/>
  <c r="J21" i="13"/>
  <c r="B21" i="13"/>
  <c r="M21" i="13"/>
  <c r="K21" i="13"/>
  <c r="L21" i="13"/>
  <c r="H21" i="13"/>
  <c r="I76" i="16"/>
  <c r="K76" i="16"/>
  <c r="L76" i="16"/>
  <c r="B76" i="16"/>
  <c r="H76" i="16"/>
  <c r="F76" i="16" s="1"/>
  <c r="N76" i="16"/>
  <c r="J76" i="16"/>
  <c r="M76" i="16"/>
  <c r="K89" i="16"/>
  <c r="I89" i="16"/>
  <c r="N89" i="16"/>
  <c r="L89" i="16"/>
  <c r="M89" i="16"/>
  <c r="H89" i="16"/>
  <c r="F89" i="16" s="1"/>
  <c r="B89" i="16"/>
  <c r="J89" i="16"/>
  <c r="M79" i="16"/>
  <c r="B79" i="16"/>
  <c r="K79" i="16"/>
  <c r="H79" i="16"/>
  <c r="F79" i="16" s="1"/>
  <c r="N79" i="16"/>
  <c r="J79" i="16"/>
  <c r="I79" i="16"/>
  <c r="L79" i="16"/>
  <c r="H20" i="13"/>
  <c r="M20" i="13"/>
  <c r="I20" i="13"/>
  <c r="K20" i="13"/>
  <c r="B20" i="13"/>
  <c r="J20" i="13"/>
  <c r="L20" i="13"/>
  <c r="M20" i="16"/>
  <c r="I20" i="16"/>
  <c r="H20" i="16"/>
  <c r="F20" i="16" s="1"/>
  <c r="L20" i="16"/>
  <c r="K20" i="16"/>
  <c r="J20" i="16"/>
  <c r="B20" i="16"/>
  <c r="N20" i="16"/>
  <c r="F57" i="13"/>
  <c r="A25" i="5"/>
  <c r="O93" i="16" l="1"/>
  <c r="O90" i="16"/>
  <c r="H114" i="16"/>
  <c r="H41" i="16" s="1"/>
  <c r="H42" i="16" s="1"/>
  <c r="O28" i="16"/>
  <c r="O20" i="16"/>
  <c r="O26" i="16"/>
  <c r="O89" i="16"/>
  <c r="O87" i="16"/>
  <c r="O92" i="16"/>
  <c r="O84" i="16"/>
  <c r="O82" i="16"/>
  <c r="O91" i="16"/>
  <c r="N28" i="13"/>
  <c r="O75" i="16"/>
  <c r="O94" i="16"/>
  <c r="O78" i="16"/>
  <c r="O76" i="16"/>
  <c r="O79" i="16"/>
  <c r="O25" i="16"/>
  <c r="O77" i="16"/>
  <c r="F20" i="13"/>
  <c r="N20" i="13"/>
  <c r="F37" i="13"/>
  <c r="N37" i="13"/>
  <c r="F22" i="13"/>
  <c r="N22" i="13"/>
  <c r="F23" i="13"/>
  <c r="N23" i="13"/>
  <c r="O17" i="16"/>
  <c r="O19" i="16"/>
  <c r="O18" i="16"/>
  <c r="M38" i="13"/>
  <c r="J38" i="13"/>
  <c r="F27" i="13"/>
  <c r="N27" i="13"/>
  <c r="O80" i="16"/>
  <c r="O23" i="16"/>
  <c r="O21" i="16"/>
  <c r="O86" i="16"/>
  <c r="F24" i="13"/>
  <c r="N24" i="13"/>
  <c r="O85" i="16"/>
  <c r="O88" i="16"/>
  <c r="O83" i="16"/>
  <c r="J95" i="16"/>
  <c r="J30" i="16" s="1"/>
  <c r="J31" i="16" s="1"/>
  <c r="N95" i="16"/>
  <c r="N30" i="16" s="1"/>
  <c r="N31" i="16" s="1"/>
  <c r="O24" i="16"/>
  <c r="F30" i="13"/>
  <c r="N30" i="13"/>
  <c r="O29" i="16"/>
  <c r="L38" i="13"/>
  <c r="F34" i="13"/>
  <c r="N34" i="13"/>
  <c r="P74" i="16"/>
  <c r="F74" i="16"/>
  <c r="L95" i="16"/>
  <c r="L30" i="16" s="1"/>
  <c r="L31" i="16" s="1"/>
  <c r="F18" i="13"/>
  <c r="N18" i="13"/>
  <c r="F17" i="13"/>
  <c r="N17" i="13"/>
  <c r="H38" i="13"/>
  <c r="F21" i="13"/>
  <c r="N21" i="13"/>
  <c r="F36" i="13"/>
  <c r="N36" i="13"/>
  <c r="M95" i="16"/>
  <c r="M30" i="16" s="1"/>
  <c r="M31" i="16" s="1"/>
  <c r="O74" i="16"/>
  <c r="O27" i="16"/>
  <c r="F35" i="13"/>
  <c r="N35" i="13"/>
  <c r="F19" i="13"/>
  <c r="N19" i="13"/>
  <c r="F25" i="13"/>
  <c r="N25" i="13"/>
  <c r="F33" i="13"/>
  <c r="N33" i="13"/>
  <c r="F31" i="13"/>
  <c r="N31" i="13"/>
  <c r="F32" i="13"/>
  <c r="N32" i="13"/>
  <c r="O81" i="16"/>
  <c r="F26" i="13"/>
  <c r="N26" i="13"/>
  <c r="I95" i="16"/>
  <c r="I30" i="16" s="1"/>
  <c r="I31" i="16" s="1"/>
  <c r="K95" i="16"/>
  <c r="K30" i="16" s="1"/>
  <c r="K31" i="16" s="1"/>
  <c r="O22" i="16"/>
  <c r="F29" i="13"/>
  <c r="N29" i="13"/>
  <c r="I38" i="13"/>
  <c r="K38" i="13"/>
  <c r="A26" i="5"/>
  <c r="F38" i="13" l="1"/>
  <c r="N38" i="13"/>
  <c r="O95" i="16"/>
  <c r="O30" i="16" s="1"/>
  <c r="O31" i="16" s="1"/>
  <c r="A27" i="5"/>
  <c r="A28" i="5" l="1"/>
  <c r="A29" i="5" l="1"/>
  <c r="A30" i="5" l="1"/>
  <c r="A31" i="5" l="1"/>
  <c r="N51" i="13"/>
  <c r="N52" i="13"/>
  <c r="N53" i="13"/>
  <c r="N45" i="13"/>
  <c r="N47" i="13"/>
  <c r="P40" i="16" l="1"/>
  <c r="A32" i="5"/>
  <c r="P39" i="16"/>
  <c r="L40" i="16"/>
  <c r="P37" i="16"/>
  <c r="L39" i="16"/>
  <c r="J35" i="16"/>
  <c r="K35" i="16" s="1"/>
  <c r="L35" i="16"/>
  <c r="P35" i="16"/>
  <c r="J36" i="16"/>
  <c r="K36" i="16" s="1"/>
  <c r="P38" i="16"/>
  <c r="J39" i="16"/>
  <c r="K39" i="16" s="1"/>
  <c r="J37" i="16"/>
  <c r="K37" i="16" s="1"/>
  <c r="L38" i="16"/>
  <c r="J38" i="16"/>
  <c r="K38" i="16" s="1"/>
  <c r="J40" i="16"/>
  <c r="K40" i="16" s="1"/>
  <c r="L37" i="16"/>
  <c r="L36" i="16"/>
  <c r="P36" i="16"/>
  <c r="H42" i="13"/>
  <c r="I42" i="13" s="1"/>
  <c r="J42" i="13"/>
  <c r="H43" i="13"/>
  <c r="I43" i="13" s="1"/>
  <c r="J43" i="13"/>
  <c r="N42" i="13"/>
  <c r="N44" i="13"/>
  <c r="J44" i="13"/>
  <c r="J45" i="13"/>
  <c r="H44" i="13"/>
  <c r="I44" i="13" s="1"/>
  <c r="J51" i="13"/>
  <c r="N43" i="13"/>
  <c r="J48" i="13"/>
  <c r="J52" i="13"/>
  <c r="N56" i="13"/>
  <c r="N55" i="13"/>
  <c r="N48" i="13"/>
  <c r="J47" i="13"/>
  <c r="N54" i="13"/>
  <c r="J46" i="13"/>
  <c r="H53" i="13"/>
  <c r="I53" i="13" s="1"/>
  <c r="N49" i="13"/>
  <c r="H48" i="13"/>
  <c r="I48" i="13" s="1"/>
  <c r="H52" i="13"/>
  <c r="I52" i="13" s="1"/>
  <c r="H49" i="13"/>
  <c r="I49" i="13" s="1"/>
  <c r="J49" i="13"/>
  <c r="J54" i="13"/>
  <c r="H51" i="13"/>
  <c r="I51" i="13" s="1"/>
  <c r="J53" i="13"/>
  <c r="J55" i="13"/>
  <c r="H45" i="13"/>
  <c r="I45" i="13" s="1"/>
  <c r="J56" i="13"/>
  <c r="H47" i="13"/>
  <c r="I47" i="13" s="1"/>
  <c r="H54" i="13"/>
  <c r="I54" i="13" s="1"/>
  <c r="N46" i="13"/>
  <c r="H46" i="13"/>
  <c r="I46" i="13" s="1"/>
  <c r="J50" i="13"/>
  <c r="H50" i="13"/>
  <c r="I50" i="13" s="1"/>
  <c r="N50" i="13"/>
  <c r="H55" i="13"/>
  <c r="I55" i="13" s="1"/>
  <c r="H56" i="13"/>
  <c r="I56" i="13" s="1"/>
  <c r="A33" i="5" l="1"/>
  <c r="N57" i="13"/>
  <c r="A34" i="5" l="1"/>
  <c r="A35" i="5" l="1"/>
  <c r="P27" i="16"/>
  <c r="P29" i="16"/>
  <c r="P20" i="16"/>
  <c r="P24" i="16"/>
  <c r="P28" i="16"/>
  <c r="P18" i="16"/>
  <c r="P26" i="16"/>
  <c r="P19" i="16"/>
  <c r="P17" i="16"/>
  <c r="P22" i="16"/>
  <c r="P21" i="16"/>
  <c r="P25" i="16"/>
  <c r="P23" i="16"/>
  <c r="A36" i="5" l="1"/>
  <c r="A37" i="5" l="1"/>
  <c r="L105" i="16" s="1"/>
  <c r="P94" i="16"/>
  <c r="P78" i="16"/>
  <c r="P93" i="16"/>
  <c r="P77" i="16"/>
  <c r="P84" i="16"/>
  <c r="P89" i="16"/>
  <c r="P92" i="16"/>
  <c r="P87" i="16"/>
  <c r="P82" i="16"/>
  <c r="P76" i="16"/>
  <c r="P85" i="16"/>
  <c r="P88" i="16"/>
  <c r="P83" i="16"/>
  <c r="F95" i="16"/>
  <c r="F30" i="16" s="1"/>
  <c r="F31" i="16" s="1"/>
  <c r="P90" i="16"/>
  <c r="P91" i="16"/>
  <c r="P80" i="16"/>
  <c r="H95" i="16"/>
  <c r="H30" i="16" s="1"/>
  <c r="H31" i="16" s="1"/>
  <c r="P75" i="16"/>
  <c r="P81" i="16"/>
  <c r="P79" i="16"/>
  <c r="P86" i="16"/>
  <c r="L102" i="16" l="1"/>
  <c r="P111" i="16"/>
  <c r="L108" i="16"/>
  <c r="L99" i="16"/>
  <c r="J112" i="16"/>
  <c r="K112" i="16" s="1"/>
  <c r="J109" i="16"/>
  <c r="K109" i="16" s="1"/>
  <c r="L104" i="16"/>
  <c r="J103" i="16"/>
  <c r="K103" i="16" s="1"/>
  <c r="P104" i="16"/>
  <c r="P109" i="16"/>
  <c r="P99" i="16"/>
  <c r="P108" i="16"/>
  <c r="L101" i="16"/>
  <c r="L113" i="16"/>
  <c r="J108" i="16"/>
  <c r="K108" i="16" s="1"/>
  <c r="J102" i="16"/>
  <c r="K102" i="16" s="1"/>
  <c r="P105" i="16"/>
  <c r="P102" i="16"/>
  <c r="L103" i="16"/>
  <c r="J111" i="16"/>
  <c r="K111" i="16" s="1"/>
  <c r="J105" i="16"/>
  <c r="K105" i="16" s="1"/>
  <c r="L106" i="16"/>
  <c r="J101" i="16"/>
  <c r="K101" i="16" s="1"/>
  <c r="L109" i="16"/>
  <c r="J110" i="16"/>
  <c r="K110" i="16" s="1"/>
  <c r="L111" i="16"/>
  <c r="J100" i="16"/>
  <c r="K100" i="16" s="1"/>
  <c r="J107" i="16"/>
  <c r="K107" i="16" s="1"/>
  <c r="J99" i="16"/>
  <c r="K99" i="16" s="1"/>
  <c r="P112" i="16"/>
  <c r="P100" i="16"/>
  <c r="P106" i="16"/>
  <c r="P103" i="16"/>
  <c r="J104" i="16"/>
  <c r="K104" i="16" s="1"/>
  <c r="L112" i="16"/>
  <c r="J113" i="16"/>
  <c r="K113" i="16" s="1"/>
  <c r="L110" i="16"/>
  <c r="L100" i="16"/>
  <c r="P110" i="16"/>
  <c r="L107" i="16"/>
  <c r="J106" i="16"/>
  <c r="K106" i="16" s="1"/>
  <c r="P113" i="16"/>
  <c r="P101" i="16"/>
  <c r="P107" i="16"/>
  <c r="P95" i="16"/>
  <c r="P30" i="16" s="1"/>
  <c r="P31" i="16" s="1"/>
  <c r="S31" i="16" s="1"/>
  <c r="T31" i="16" s="1"/>
  <c r="P114" i="16" l="1"/>
  <c r="P41" i="16" s="1"/>
  <c r="P42" i="16" s="1"/>
  <c r="P4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Kelley Smith</author>
    <author>Amy Lewis</author>
    <author>Phillip Uy</author>
  </authors>
  <commentList>
    <comment ref="A7" authorId="0" shapeId="0" xr:uid="{00000000-0006-0000-0300-000001000000}">
      <text>
        <r>
          <rPr>
            <b/>
            <sz val="11"/>
            <color indexed="10"/>
            <rFont val="Tahoma"/>
            <family val="2"/>
          </rPr>
          <t xml:space="preserve">Enter the traveler's name </t>
        </r>
        <r>
          <rPr>
            <b/>
            <u/>
            <sz val="11"/>
            <color indexed="10"/>
            <rFont val="Tahoma"/>
            <family val="2"/>
          </rPr>
          <t>exactly</t>
        </r>
        <r>
          <rPr>
            <b/>
            <sz val="11"/>
            <color indexed="10"/>
            <rFont val="Tahoma"/>
            <family val="2"/>
          </rPr>
          <t xml:space="preserve"> as it appears in the </t>
        </r>
        <r>
          <rPr>
            <b/>
            <i/>
            <sz val="11"/>
            <color indexed="10"/>
            <rFont val="Tahoma"/>
            <family val="2"/>
          </rPr>
          <t>wv</t>
        </r>
        <r>
          <rPr>
            <b/>
            <sz val="11"/>
            <color indexed="10"/>
            <rFont val="Tahoma"/>
            <family val="2"/>
          </rPr>
          <t xml:space="preserve">OASIS vendor file.  </t>
        </r>
        <r>
          <rPr>
            <b/>
            <sz val="11"/>
            <color indexed="81"/>
            <rFont val="Tahoma"/>
            <family val="2"/>
          </rPr>
          <t xml:space="preserve">
No nicknames.</t>
        </r>
        <r>
          <rPr>
            <sz val="9"/>
            <color indexed="81"/>
            <rFont val="Tahoma"/>
            <family val="2"/>
          </rPr>
          <t xml:space="preserve">
</t>
        </r>
      </text>
    </comment>
    <comment ref="H7" authorId="0" shapeId="0" xr:uid="{00000000-0006-0000-0300-000002000000}">
      <text>
        <r>
          <rPr>
            <sz val="11"/>
            <color indexed="81"/>
            <rFont val="Tahoma"/>
            <family val="2"/>
          </rPr>
          <t>Enter the traveler's official job title.</t>
        </r>
      </text>
    </comment>
    <comment ref="L7" authorId="0" shapeId="0" xr:uid="{00000000-0006-0000-0300-000003000000}">
      <text>
        <r>
          <rPr>
            <sz val="11"/>
            <color indexed="81"/>
            <rFont val="Tahoma"/>
            <family val="2"/>
          </rPr>
          <t xml:space="preserve">Enter the traveler's </t>
        </r>
        <r>
          <rPr>
            <i/>
            <sz val="11"/>
            <color indexed="81"/>
            <rFont val="Tahoma"/>
            <family val="2"/>
          </rPr>
          <t>wv</t>
        </r>
        <r>
          <rPr>
            <sz val="11"/>
            <color indexed="81"/>
            <rFont val="Tahoma"/>
            <family val="2"/>
          </rPr>
          <t>OASIS Vendor ID.</t>
        </r>
        <r>
          <rPr>
            <sz val="9"/>
            <color indexed="81"/>
            <rFont val="Tahoma"/>
            <family val="2"/>
          </rPr>
          <t xml:space="preserve">
</t>
        </r>
      </text>
    </comment>
    <comment ref="A8" authorId="1" shapeId="0" xr:uid="{00000000-0006-0000-0300-000004000000}">
      <text>
        <r>
          <rPr>
            <b/>
            <sz val="11"/>
            <color indexed="10"/>
            <rFont val="Tahoma"/>
            <family val="2"/>
          </rPr>
          <t xml:space="preserve">Enter the traveler's address </t>
        </r>
        <r>
          <rPr>
            <b/>
            <u/>
            <sz val="11"/>
            <color indexed="10"/>
            <rFont val="Tahoma"/>
            <family val="2"/>
          </rPr>
          <t>exactly</t>
        </r>
        <r>
          <rPr>
            <b/>
            <sz val="11"/>
            <color indexed="10"/>
            <rFont val="Tahoma"/>
            <family val="2"/>
          </rPr>
          <t xml:space="preserve"> as it appears in the wvOASIS vendor file. </t>
        </r>
      </text>
    </comment>
    <comment ref="K8" authorId="0" shapeId="0" xr:uid="{00000000-0006-0000-0300-000005000000}">
      <text>
        <r>
          <rPr>
            <sz val="11"/>
            <color indexed="81"/>
            <rFont val="Tahoma"/>
            <family val="2"/>
          </rPr>
          <t>Enter the city for the traveler's home address.</t>
        </r>
        <r>
          <rPr>
            <sz val="9"/>
            <color indexed="81"/>
            <rFont val="Tahoma"/>
            <family val="2"/>
          </rPr>
          <t xml:space="preserve">
</t>
        </r>
      </text>
    </comment>
    <comment ref="A9" authorId="0" shapeId="0" xr:uid="{00000000-0006-0000-0300-000006000000}">
      <text>
        <r>
          <rPr>
            <sz val="11"/>
            <color indexed="81"/>
            <rFont val="Tahoma"/>
            <family val="2"/>
          </rPr>
          <t>Enter the state for the traveler's home address.</t>
        </r>
        <r>
          <rPr>
            <sz val="9"/>
            <color indexed="81"/>
            <rFont val="Tahoma"/>
            <family val="2"/>
          </rPr>
          <t xml:space="preserve">
</t>
        </r>
      </text>
    </comment>
    <comment ref="C9" authorId="0" shapeId="0" xr:uid="{00000000-0006-0000-0300-000007000000}">
      <text>
        <r>
          <rPr>
            <sz val="9"/>
            <color indexed="81"/>
            <rFont val="Tahoma"/>
            <family val="2"/>
          </rPr>
          <t>Enter the zip code for the traveler's home address.</t>
        </r>
      </text>
    </comment>
    <comment ref="F9" authorId="0" shapeId="0" xr:uid="{00000000-0006-0000-0300-000008000000}">
      <text>
        <r>
          <rPr>
            <sz val="11"/>
            <color indexed="81"/>
            <rFont val="Tahoma"/>
            <family val="2"/>
          </rPr>
          <t>Enter the City/ST of the traveler's home office.</t>
        </r>
        <r>
          <rPr>
            <sz val="9"/>
            <color indexed="81"/>
            <rFont val="Tahoma"/>
            <family val="2"/>
          </rPr>
          <t xml:space="preserve">
</t>
        </r>
      </text>
    </comment>
    <comment ref="L9" authorId="0" shapeId="0" xr:uid="{00000000-0006-0000-0300-000009000000}">
      <text>
        <r>
          <rPr>
            <sz val="11"/>
            <color indexed="81"/>
            <rFont val="Tahoma"/>
            <family val="2"/>
          </rPr>
          <t>Enter the traveler's normal work hours.</t>
        </r>
        <r>
          <rPr>
            <sz val="9"/>
            <color indexed="81"/>
            <rFont val="Tahoma"/>
            <family val="2"/>
          </rPr>
          <t xml:space="preserve">
</t>
        </r>
      </text>
    </comment>
    <comment ref="A10" authorId="0" shapeId="0" xr:uid="{00000000-0006-0000-0300-00000A000000}">
      <text>
        <r>
          <rPr>
            <sz val="11"/>
            <color indexed="81"/>
            <rFont val="Tahoma"/>
            <family val="2"/>
          </rPr>
          <t>Enter the traveler's Department name.</t>
        </r>
      </text>
    </comment>
    <comment ref="H10" authorId="0" shapeId="0" xr:uid="{00000000-0006-0000-0300-00000B000000}">
      <text>
        <r>
          <rPr>
            <sz val="11"/>
            <color indexed="81"/>
            <rFont val="Tahoma"/>
            <family val="2"/>
          </rPr>
          <t>Enter the applicable Division name; Enter N/A if not applicable.</t>
        </r>
        <r>
          <rPr>
            <sz val="9"/>
            <color indexed="81"/>
            <rFont val="Tahoma"/>
            <family val="2"/>
          </rPr>
          <t xml:space="preserve">
</t>
        </r>
      </text>
    </comment>
    <comment ref="L10" authorId="0" shapeId="0" xr:uid="{00000000-0006-0000-0300-00000C000000}">
      <text>
        <r>
          <rPr>
            <sz val="11"/>
            <color indexed="81"/>
            <rFont val="Tahoma"/>
            <family val="2"/>
          </rPr>
          <t>Enter the applicable Section name; Enter N/A if not applicable.</t>
        </r>
        <r>
          <rPr>
            <sz val="9"/>
            <color indexed="81"/>
            <rFont val="Tahoma"/>
            <family val="2"/>
          </rPr>
          <t xml:space="preserve">
</t>
        </r>
      </text>
    </comment>
    <comment ref="A11" authorId="0" shapeId="0" xr:uid="{00000000-0006-0000-0300-00000D000000}">
      <text>
        <r>
          <rPr>
            <sz val="11"/>
            <color indexed="81"/>
            <rFont val="Tahoma"/>
            <family val="2"/>
          </rPr>
          <t>Enter a brief justification about why the trip is necessary.</t>
        </r>
        <r>
          <rPr>
            <sz val="9"/>
            <color indexed="81"/>
            <rFont val="Tahoma"/>
            <family val="2"/>
          </rPr>
          <t xml:space="preserve">
</t>
        </r>
      </text>
    </comment>
    <comment ref="C12" authorId="2" shapeId="0" xr:uid="{00000000-0006-0000-0300-00000E000000}">
      <text>
        <r>
          <rPr>
            <sz val="11"/>
            <color indexed="81"/>
            <rFont val="Tahoma"/>
            <family val="2"/>
          </rPr>
          <t>Place an X here if taking a state car; Enter N/A if not applicable.</t>
        </r>
      </text>
    </comment>
    <comment ref="C13" authorId="2" shapeId="0" xr:uid="{00000000-0006-0000-0300-00000F000000}">
      <text>
        <r>
          <rPr>
            <sz val="11"/>
            <color indexed="81"/>
            <rFont val="Tahoma"/>
            <family val="2"/>
          </rPr>
          <t>Place an X here if using the traveler's personal car; Enter N/A if not applicable.</t>
        </r>
      </text>
    </comment>
    <comment ref="H13" authorId="1" shapeId="0" xr:uid="{00000000-0006-0000-0300-000010000000}">
      <text>
        <r>
          <rPr>
            <sz val="11"/>
            <color indexed="81"/>
            <rFont val="Tahoma"/>
            <family val="2"/>
          </rPr>
          <t xml:space="preserve">Insert the applicable approved standard mileage rate. 
</t>
        </r>
        <r>
          <rPr>
            <b/>
            <sz val="11"/>
            <color indexed="12"/>
            <rFont val="Tahoma"/>
            <family val="2"/>
          </rPr>
          <t>The current rate can be found by clicking the GSA link provided.</t>
        </r>
      </text>
    </comment>
    <comment ref="A14" authorId="1" shapeId="0" xr:uid="{00000000-0006-0000-0300-000011000000}">
      <text>
        <r>
          <rPr>
            <b/>
            <u/>
            <sz val="11"/>
            <color indexed="81"/>
            <rFont val="Tahoma"/>
            <family val="2"/>
          </rPr>
          <t>Must</t>
        </r>
        <r>
          <rPr>
            <b/>
            <sz val="11"/>
            <color indexed="81"/>
            <rFont val="Tahoma"/>
            <family val="2"/>
          </rPr>
          <t xml:space="preserve"> 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C14" authorId="1" shapeId="0" xr:uid="{00000000-0006-0000-0300-000012000000}">
      <text>
        <r>
          <rPr>
            <b/>
            <u/>
            <sz val="11"/>
            <color indexed="81"/>
            <rFont val="Tahoma"/>
            <family val="2"/>
          </rPr>
          <t xml:space="preserve">Must </t>
        </r>
        <r>
          <rPr>
            <b/>
            <sz val="11"/>
            <color indexed="81"/>
            <rFont val="Tahoma"/>
            <family val="2"/>
          </rPr>
          <t>choose "</t>
        </r>
        <r>
          <rPr>
            <b/>
            <sz val="11"/>
            <color indexed="10"/>
            <rFont val="Tahoma"/>
            <family val="2"/>
          </rPr>
          <t>Yes</t>
        </r>
        <r>
          <rPr>
            <b/>
            <sz val="11"/>
            <color indexed="81"/>
            <rFont val="Tahoma"/>
            <family val="2"/>
          </rPr>
          <t>" or "</t>
        </r>
        <r>
          <rPr>
            <b/>
            <sz val="11"/>
            <color indexed="10"/>
            <rFont val="Tahoma"/>
            <family val="2"/>
          </rPr>
          <t>No</t>
        </r>
        <r>
          <rPr>
            <b/>
            <sz val="11"/>
            <color indexed="81"/>
            <rFont val="Tahoma"/>
            <family val="2"/>
          </rPr>
          <t xml:space="preserve">".
</t>
        </r>
        <r>
          <rPr>
            <b/>
            <sz val="11"/>
            <color indexed="12"/>
            <rFont val="Tahoma"/>
            <family val="2"/>
          </rPr>
          <t xml:space="preserve">If yes, a copy of the completed registration form </t>
        </r>
        <r>
          <rPr>
            <b/>
            <u/>
            <sz val="11"/>
            <color indexed="12"/>
            <rFont val="Tahoma"/>
            <family val="2"/>
          </rPr>
          <t>must</t>
        </r>
        <r>
          <rPr>
            <b/>
            <sz val="11"/>
            <color indexed="12"/>
            <rFont val="Tahoma"/>
            <family val="2"/>
          </rPr>
          <t xml:space="preserve"> be attached.</t>
        </r>
      </text>
    </comment>
    <comment ref="A17" authorId="2" shapeId="0" xr:uid="{00000000-0006-0000-0300-000013000000}">
      <text>
        <r>
          <rPr>
            <sz val="11"/>
            <color indexed="81"/>
            <rFont val="Tahoma"/>
            <family val="2"/>
          </rPr>
          <t>Enter the date of travel for this line</t>
        </r>
      </text>
    </comment>
    <comment ref="B17" authorId="2" shapeId="0" xr:uid="{00000000-0006-0000-0300-000014000000}">
      <text>
        <r>
          <rPr>
            <sz val="11"/>
            <color indexed="81"/>
            <rFont val="Tahoma"/>
            <family val="2"/>
          </rPr>
          <t>Departure times for travel are not required unless claiming a one day meal without an overnight stay.  Enter times only if required by your department.</t>
        </r>
      </text>
    </comment>
    <comment ref="C17" authorId="2" shapeId="0" xr:uid="{00000000-0006-0000-0300-000015000000}">
      <text>
        <r>
          <rPr>
            <sz val="11"/>
            <color indexed="81"/>
            <rFont val="Tahoma"/>
            <family val="2"/>
          </rPr>
          <t>Enter the city and state where the traveler was located on this day.  For transit, enter on one line the departure city and on another line the arrival city.</t>
        </r>
        <r>
          <rPr>
            <sz val="8"/>
            <color indexed="81"/>
            <rFont val="Tahoma"/>
            <family val="2"/>
          </rPr>
          <t xml:space="preserve">
</t>
        </r>
      </text>
    </comment>
    <comment ref="F17" authorId="2" shapeId="0" xr:uid="{00000000-0006-0000-0300-000016000000}">
      <text>
        <r>
          <rPr>
            <sz val="11"/>
            <color indexed="81"/>
            <rFont val="Tahoma"/>
            <family val="2"/>
          </rPr>
          <t>Enter the miles traveled, if claiming the standard mileage rate of reimbursement.</t>
        </r>
        <r>
          <rPr>
            <sz val="8"/>
            <color indexed="81"/>
            <rFont val="Tahoma"/>
            <family val="2"/>
          </rPr>
          <t xml:space="preserve">
</t>
        </r>
      </text>
    </comment>
    <comment ref="I17" authorId="2" shapeId="0" xr:uid="{00000000-0006-0000-0300-000017000000}">
      <text>
        <r>
          <rPr>
            <sz val="11"/>
            <color indexed="81"/>
            <rFont val="Tahoma"/>
            <family val="2"/>
          </rPr>
          <t xml:space="preserve">Enter the total charges incurred to purchase airline tickets and related charges.  Related charges </t>
        </r>
        <r>
          <rPr>
            <b/>
            <u/>
            <sz val="11"/>
            <color indexed="81"/>
            <rFont val="Tahoma"/>
            <family val="2"/>
          </rPr>
          <t>do not</t>
        </r>
        <r>
          <rPr>
            <sz val="11"/>
            <color indexed="81"/>
            <rFont val="Tahoma"/>
            <family val="2"/>
          </rPr>
          <t xml:space="preserve"> include baggage, tips or commuting from airport.  List these charges in the "</t>
        </r>
        <r>
          <rPr>
            <b/>
            <sz val="11"/>
            <color indexed="10"/>
            <rFont val="Tahoma"/>
            <family val="2"/>
          </rPr>
          <t>OTHER</t>
        </r>
        <r>
          <rPr>
            <sz val="11"/>
            <color indexed="81"/>
            <rFont val="Tahoma"/>
            <family val="2"/>
          </rPr>
          <t xml:space="preserve">" column.
</t>
        </r>
        <r>
          <rPr>
            <b/>
            <sz val="11"/>
            <color indexed="12"/>
            <rFont val="Tahoma"/>
            <family val="2"/>
          </rPr>
          <t>If Air and related charges are paid by p-card or by other sources</t>
        </r>
        <r>
          <rPr>
            <b/>
            <sz val="11"/>
            <color indexed="81"/>
            <rFont val="Tahoma"/>
            <family val="2"/>
          </rPr>
          <t xml:space="preserve">, enter the charges incurred </t>
        </r>
        <r>
          <rPr>
            <b/>
            <u/>
            <sz val="11"/>
            <color indexed="10"/>
            <rFont val="Tahoma"/>
            <family val="2"/>
          </rPr>
          <t>here</t>
        </r>
        <r>
          <rPr>
            <b/>
            <sz val="11"/>
            <color indexed="81"/>
            <rFont val="Tahoma"/>
            <family val="2"/>
          </rPr>
          <t xml:space="preserve"> and also below in the "</t>
        </r>
        <r>
          <rPr>
            <b/>
            <u/>
            <sz val="11"/>
            <color indexed="10"/>
            <rFont val="Tahoma"/>
            <family val="2"/>
          </rPr>
          <t>Expenses Paid By Other Sources/Advances</t>
        </r>
        <r>
          <rPr>
            <b/>
            <sz val="11"/>
            <color indexed="81"/>
            <rFont val="Tahoma"/>
            <family val="2"/>
          </rPr>
          <t>" section.</t>
        </r>
      </text>
    </comment>
    <comment ref="J17" authorId="2" shapeId="0" xr:uid="{00000000-0006-0000-0300-000018000000}">
      <text>
        <r>
          <rPr>
            <sz val="11"/>
            <color indexed="81"/>
            <rFont val="Tahoma"/>
            <family val="2"/>
          </rPr>
          <t xml:space="preserve">If applicable, enter the charges incurred for the rental vehicle.
</t>
        </r>
        <r>
          <rPr>
            <b/>
            <sz val="11"/>
            <color indexed="12"/>
            <rFont val="Tahoma"/>
            <family val="2"/>
          </rPr>
          <t>If car rental is paid by p-card or by other sources</t>
        </r>
        <r>
          <rPr>
            <sz val="11"/>
            <color indexed="81"/>
            <rFont val="Tahoma"/>
            <family val="2"/>
          </rPr>
          <t xml:space="preserve">, enter the charges incurred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K17" authorId="0" shapeId="0" xr:uid="{00000000-0006-0000-0300-000019000000}">
      <text>
        <r>
          <rPr>
            <sz val="11"/>
            <color indexed="81"/>
            <rFont val="Tahoma"/>
            <family val="2"/>
          </rPr>
          <t xml:space="preserve">Enter the daily amount for lodging.
</t>
        </r>
        <r>
          <rPr>
            <b/>
            <sz val="11"/>
            <color indexed="12"/>
            <rFont val="Tahoma"/>
            <family val="2"/>
          </rPr>
          <t>If lodging is paid by p-card or by other sources</t>
        </r>
        <r>
          <rPr>
            <sz val="11"/>
            <color indexed="81"/>
            <rFont val="Tahoma"/>
            <family val="2"/>
          </rPr>
          <t xml:space="preserve">, enter the daily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L17" authorId="0" shapeId="0" xr:uid="{00000000-0006-0000-0300-00001A000000}">
      <text>
        <r>
          <rPr>
            <sz val="11"/>
            <color indexed="81"/>
            <rFont val="Tahoma"/>
            <family val="2"/>
          </rPr>
          <t xml:space="preserve">Enter any miscellaneous expenses in this field.  They </t>
        </r>
        <r>
          <rPr>
            <u/>
            <sz val="11"/>
            <color indexed="81"/>
            <rFont val="Tahoma"/>
            <family val="2"/>
          </rPr>
          <t>must be itemized</t>
        </r>
        <r>
          <rPr>
            <sz val="11"/>
            <color indexed="81"/>
            <rFont val="Tahoma"/>
            <family val="2"/>
          </rPr>
          <t xml:space="preserve"> in the "</t>
        </r>
        <r>
          <rPr>
            <b/>
            <sz val="11"/>
            <color indexed="10"/>
            <rFont val="Tahoma"/>
            <family val="2"/>
          </rPr>
          <t>Other Expenses</t>
        </r>
        <r>
          <rPr>
            <sz val="11"/>
            <color indexed="81"/>
            <rFont val="Tahoma"/>
            <family val="2"/>
          </rPr>
          <t xml:space="preserve">" field below.
</t>
        </r>
        <r>
          <rPr>
            <b/>
            <sz val="11"/>
            <color indexed="12"/>
            <rFont val="Tahoma"/>
            <family val="2"/>
          </rPr>
          <t>If any expenses have been paid by p-card or by other sources</t>
        </r>
        <r>
          <rPr>
            <sz val="11"/>
            <color indexed="81"/>
            <rFont val="Tahoma"/>
            <family val="2"/>
          </rPr>
          <t xml:space="preserve">, enter the amount </t>
        </r>
        <r>
          <rPr>
            <b/>
            <u/>
            <sz val="11"/>
            <color indexed="10"/>
            <rFont val="Tahoma"/>
            <family val="2"/>
          </rPr>
          <t>here</t>
        </r>
        <r>
          <rPr>
            <sz val="11"/>
            <color indexed="81"/>
            <rFont val="Tahoma"/>
            <family val="2"/>
          </rPr>
          <t xml:space="preserve"> and also below in the "</t>
        </r>
        <r>
          <rPr>
            <b/>
            <u/>
            <sz val="11"/>
            <color indexed="10"/>
            <rFont val="Tahoma"/>
            <family val="2"/>
          </rPr>
          <t>Expenses Paid By Other Sources/Advances</t>
        </r>
        <r>
          <rPr>
            <sz val="11"/>
            <color indexed="81"/>
            <rFont val="Tahoma"/>
            <family val="2"/>
          </rPr>
          <t>" section.</t>
        </r>
      </text>
    </comment>
    <comment ref="M17" authorId="0" shapeId="0" xr:uid="{00000000-0006-0000-0300-00001B000000}">
      <text>
        <r>
          <rPr>
            <sz val="11"/>
            <color indexed="81"/>
            <rFont val="Tahoma"/>
            <family val="2"/>
          </rPr>
          <t>Enter the daily amount being claimed for meals and incidentals.</t>
        </r>
      </text>
    </comment>
    <comment ref="N17" authorId="0" shapeId="0" xr:uid="{00000000-0006-0000-0300-00001C000000}">
      <text>
        <r>
          <rPr>
            <sz val="11"/>
            <color indexed="81"/>
            <rFont val="Tahoma"/>
            <family val="2"/>
          </rPr>
          <t>Enter the daily GSA allowance the traveler is eligible for, less any meals provided.  
If no overnight lodging, leave the GSA Per Diem blank.</t>
        </r>
        <r>
          <rPr>
            <sz val="9"/>
            <color indexed="81"/>
            <rFont val="Tahoma"/>
            <family val="2"/>
          </rPr>
          <t xml:space="preserve">
</t>
        </r>
      </text>
    </comment>
    <comment ref="O17" authorId="0" shapeId="0" xr:uid="{00000000-0006-0000-0300-00001D000000}">
      <text>
        <r>
          <rPr>
            <sz val="11"/>
            <color indexed="81"/>
            <rFont val="Tahoma"/>
            <family val="2"/>
          </rPr>
          <t>This calculation will be the difference calculated  between the M&amp;IE claimed and the GSA allowance.  
If greater than zero, this amount will be reported as taxable wages on the traveler's W-2 and taxed as appropriate.</t>
        </r>
        <r>
          <rPr>
            <sz val="9"/>
            <color indexed="81"/>
            <rFont val="Tahoma"/>
            <family val="2"/>
          </rPr>
          <t xml:space="preserve">
</t>
        </r>
      </text>
    </comment>
    <comment ref="O32" authorId="1" shapeId="0" xr:uid="{00000000-0006-0000-0300-00001E000000}">
      <text>
        <r>
          <rPr>
            <b/>
            <sz val="11"/>
            <color indexed="10"/>
            <rFont val="Tahoma"/>
            <family val="2"/>
          </rPr>
          <t>OTDED Transaction ID</t>
        </r>
        <r>
          <rPr>
            <b/>
            <sz val="11"/>
            <color indexed="12"/>
            <rFont val="Tahoma"/>
            <family val="2"/>
          </rPr>
          <t xml:space="preserve"> (from HRM) </t>
        </r>
        <r>
          <rPr>
            <b/>
            <u/>
            <sz val="11"/>
            <color indexed="12"/>
            <rFont val="Tahoma"/>
            <family val="2"/>
          </rPr>
          <t>must</t>
        </r>
        <r>
          <rPr>
            <b/>
            <sz val="11"/>
            <color indexed="12"/>
            <rFont val="Tahoma"/>
            <family val="2"/>
          </rPr>
          <t xml:space="preserve"> be entered here for any taxable amount shown in the field above.</t>
        </r>
      </text>
    </comment>
    <comment ref="A35" authorId="2" shapeId="0" xr:uid="{00000000-0006-0000-0300-00001F000000}">
      <text>
        <r>
          <rPr>
            <sz val="11"/>
            <color indexed="81"/>
            <rFont val="Tahoma"/>
            <family val="2"/>
          </rPr>
          <t>Enter the date this expense was incurred</t>
        </r>
      </text>
    </comment>
    <comment ref="B35" authorId="2" shapeId="0" xr:uid="{00000000-0006-0000-0300-000020000000}">
      <text>
        <r>
          <rPr>
            <sz val="11"/>
            <color indexed="81"/>
            <rFont val="Tahoma"/>
            <family val="2"/>
          </rPr>
          <t>Enter the name and, if necessary, a brief description of this expense</t>
        </r>
      </text>
    </comment>
    <comment ref="H35" authorId="2" shapeId="0" xr:uid="{00000000-0006-0000-0300-000021000000}">
      <text>
        <r>
          <rPr>
            <sz val="11"/>
            <color indexed="81"/>
            <rFont val="Tahoma"/>
            <family val="2"/>
          </rPr>
          <t>Enter the amount of this expense</t>
        </r>
      </text>
    </comment>
    <comment ref="J35" authorId="2" shapeId="0" xr:uid="{00000000-0006-0000-0300-000022000000}">
      <text>
        <r>
          <rPr>
            <sz val="11"/>
            <color indexed="81"/>
            <rFont val="Tahoma"/>
            <family val="2"/>
          </rPr>
          <t>Enter the date this direct bill expense was either incurred or paid</t>
        </r>
      </text>
    </comment>
    <comment ref="K35" authorId="2" shapeId="0" xr:uid="{00000000-0006-0000-0300-000023000000}">
      <text>
        <r>
          <rPr>
            <sz val="11"/>
            <color indexed="81"/>
            <rFont val="Tahoma"/>
            <family val="2"/>
          </rPr>
          <t>Enter the Payment code of this direct bill expense:
see below for corresponding codes</t>
        </r>
      </text>
    </comment>
    <comment ref="L35" authorId="2" shapeId="0" xr:uid="{00000000-0006-0000-0300-000024000000}">
      <text>
        <r>
          <rPr>
            <sz val="11"/>
            <color indexed="81"/>
            <rFont val="Tahoma"/>
            <family val="2"/>
          </rPr>
          <t>Enter the details of this expense:
Payee and brief description of expense</t>
        </r>
      </text>
    </comment>
    <comment ref="P35" authorId="2" shapeId="0" xr:uid="{00000000-0006-0000-0300-000025000000}">
      <text>
        <r>
          <rPr>
            <sz val="11"/>
            <color indexed="81"/>
            <rFont val="Tahoma"/>
            <family val="2"/>
          </rPr>
          <t>Enter the amount of this direct bill expense</t>
        </r>
      </text>
    </comment>
    <comment ref="P50" authorId="2" shapeId="0" xr:uid="{00000000-0006-0000-0300-000026000000}">
      <text>
        <r>
          <rPr>
            <sz val="8"/>
            <color indexed="81"/>
            <rFont val="Tahoma"/>
            <family val="2"/>
          </rPr>
          <t>Enter the date of signature by the traveler.  May be handwritten</t>
        </r>
      </text>
    </comment>
    <comment ref="P61" authorId="2" shapeId="0" xr:uid="{00000000-0006-0000-0300-000027000000}">
      <text>
        <r>
          <rPr>
            <sz val="8"/>
            <color indexed="81"/>
            <rFont val="Tahoma"/>
            <family val="2"/>
          </rPr>
          <t>Enter the date of signature by the proper authority.  May be handwritten</t>
        </r>
      </text>
    </comment>
    <comment ref="A74" authorId="2" shapeId="0" xr:uid="{00000000-0006-0000-0300-000028000000}">
      <text>
        <r>
          <rPr>
            <sz val="8"/>
            <color indexed="81"/>
            <rFont val="Tahoma"/>
            <family val="2"/>
          </rPr>
          <t>Enter the date of travel for this line</t>
        </r>
      </text>
    </comment>
    <comment ref="B74" authorId="2" shapeId="0" xr:uid="{00000000-0006-0000-0300-000029000000}">
      <text>
        <r>
          <rPr>
            <sz val="8"/>
            <color indexed="81"/>
            <rFont val="Tahoma"/>
            <family val="2"/>
          </rPr>
          <t>Enter the times between which the vendor was working in an official business capacity.  Use the following notations:
a for a.m.
p for p.m.
n for noon
m for midnight</t>
        </r>
      </text>
    </comment>
    <comment ref="C74" authorId="2" shapeId="0" xr:uid="{00000000-0006-0000-0300-00002A000000}">
      <text>
        <r>
          <rPr>
            <sz val="8"/>
            <color indexed="81"/>
            <rFont val="Tahoma"/>
            <family val="2"/>
          </rPr>
          <t xml:space="preserve">Enter the city and state where the vendor was located on this day.  For transit, enter on one line the departure city and on another line the arrival city
</t>
        </r>
      </text>
    </comment>
    <comment ref="F74" authorId="2" shapeId="0" xr:uid="{00000000-0006-0000-0300-00002B000000}">
      <text>
        <r>
          <rPr>
            <sz val="8"/>
            <color indexed="81"/>
            <rFont val="Tahoma"/>
            <family val="2"/>
          </rPr>
          <t xml:space="preserve">Enter the miles traveled, if claiming the standard mileage rate of reimbursement
</t>
        </r>
      </text>
    </comment>
    <comment ref="I74" authorId="2" shapeId="0" xr:uid="{00000000-0006-0000-0300-00002C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74" authorId="2" shapeId="0" xr:uid="{00000000-0006-0000-0300-00002D000000}">
      <text>
        <r>
          <rPr>
            <sz val="8"/>
            <color indexed="81"/>
            <rFont val="Tahoma"/>
            <family val="2"/>
          </rPr>
          <t>If applicable, enter the charges incurred for the  rental vehicle.</t>
        </r>
      </text>
    </comment>
    <comment ref="K74" authorId="0" shapeId="0" xr:uid="{00000000-0006-0000-0300-00002E000000}">
      <text>
        <r>
          <rPr>
            <sz val="9"/>
            <color indexed="81"/>
            <rFont val="Tahoma"/>
            <family val="2"/>
          </rPr>
          <t>Enter the daily amount for lodging.</t>
        </r>
      </text>
    </comment>
    <comment ref="L74" authorId="0" shapeId="0" xr:uid="{00000000-0006-0000-0300-00002F000000}">
      <text>
        <r>
          <rPr>
            <sz val="9"/>
            <color indexed="81"/>
            <rFont val="Tahoma"/>
            <family val="2"/>
          </rPr>
          <t xml:space="preserve">Enter any miscellaneous expenses in this field.  They must be itemized in the "Other Expenses" field below.
</t>
        </r>
      </text>
    </comment>
    <comment ref="M74" authorId="0" shapeId="0" xr:uid="{00000000-0006-0000-0300-000030000000}">
      <text>
        <r>
          <rPr>
            <sz val="9"/>
            <color indexed="81"/>
            <rFont val="Tahoma"/>
            <family val="2"/>
          </rPr>
          <t>Enter the daily amount being claimed for meals and incidentals.</t>
        </r>
      </text>
    </comment>
    <comment ref="N74" authorId="0" shapeId="0" xr:uid="{00000000-0006-0000-0300-000031000000}">
      <text>
        <r>
          <rPr>
            <sz val="9"/>
            <color indexed="81"/>
            <rFont val="Tahoma"/>
            <family val="2"/>
          </rPr>
          <t xml:space="preserve">Enter the daily GSA allowance the traveler is eligible for less any meals provided.  If no over night lodging leave the GSA Per Diem blank.
</t>
        </r>
      </text>
    </comment>
    <comment ref="O74" authorId="0" shapeId="0" xr:uid="{00000000-0006-0000-0300-000032000000}">
      <text>
        <r>
          <rPr>
            <sz val="9"/>
            <color indexed="81"/>
            <rFont val="Tahoma"/>
            <family val="2"/>
          </rPr>
          <t xml:space="preserve">This calculation will be the difference calculated  between the M&amp;IE claimed and the GSA allowance.  If greater than zero this amount will be reported as taxable wages on the traveler's W-2 and taxed as appropriate.
</t>
        </r>
      </text>
    </comment>
    <comment ref="A99" authorId="2" shapeId="0" xr:uid="{00000000-0006-0000-0300-000033000000}">
      <text>
        <r>
          <rPr>
            <sz val="8"/>
            <color indexed="81"/>
            <rFont val="Tahoma"/>
            <family val="2"/>
          </rPr>
          <t>Enter the date this expense was incurred</t>
        </r>
      </text>
    </comment>
    <comment ref="B99" authorId="2" shapeId="0" xr:uid="{00000000-0006-0000-0300-000034000000}">
      <text>
        <r>
          <rPr>
            <sz val="8"/>
            <color indexed="81"/>
            <rFont val="Tahoma"/>
            <family val="2"/>
          </rPr>
          <t>Enter the name and if necessary a brief description of this expense</t>
        </r>
      </text>
    </comment>
    <comment ref="H99" authorId="2" shapeId="0" xr:uid="{00000000-0006-0000-0300-000035000000}">
      <text>
        <r>
          <rPr>
            <sz val="8"/>
            <color indexed="81"/>
            <rFont val="Tahoma"/>
            <family val="2"/>
          </rPr>
          <t>Enter the amount of this expense</t>
        </r>
      </text>
    </comment>
    <comment ref="J99" authorId="2" shapeId="0" xr:uid="{00000000-0006-0000-0300-000036000000}">
      <text>
        <r>
          <rPr>
            <sz val="8"/>
            <color indexed="81"/>
            <rFont val="Tahoma"/>
            <family val="2"/>
          </rPr>
          <t>Enter the date this direct bill expense was either incurred or paid</t>
        </r>
      </text>
    </comment>
    <comment ref="K99" authorId="2" shapeId="0" xr:uid="{00000000-0006-0000-0300-000037000000}">
      <text>
        <r>
          <rPr>
            <sz val="8"/>
            <color indexed="81"/>
            <rFont val="Tahoma"/>
            <family val="2"/>
          </rPr>
          <t>Enter the Payment code of this direct bill expense if known:
see below for corresponding codes</t>
        </r>
      </text>
    </comment>
    <comment ref="L99" authorId="2" shapeId="0" xr:uid="{00000000-0006-0000-0300-000038000000}">
      <text>
        <r>
          <rPr>
            <sz val="8"/>
            <color indexed="81"/>
            <rFont val="Tahoma"/>
            <family val="2"/>
          </rPr>
          <t>Enter the details of this expense if known:
Payee, and brief description of expense</t>
        </r>
      </text>
    </comment>
    <comment ref="P99" authorId="2" shapeId="0" xr:uid="{00000000-0006-0000-0300-000039000000}">
      <text>
        <r>
          <rPr>
            <sz val="8"/>
            <color indexed="81"/>
            <rFont val="Tahoma"/>
            <family val="2"/>
          </rPr>
          <t>If known, enter the amount of this direct bill expense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Phillip Uy</author>
  </authors>
  <commentList>
    <comment ref="B7" authorId="0" shapeId="0" xr:uid="{00000000-0006-0000-0400-000001000000}">
      <text>
        <r>
          <rPr>
            <sz val="8"/>
            <color indexed="81"/>
            <rFont val="Tahoma"/>
            <family val="2"/>
          </rPr>
          <t>Enter traveler's name as it appears on their Social Security Card</t>
        </r>
      </text>
    </comment>
    <comment ref="G7" authorId="0" shapeId="0" xr:uid="{00000000-0006-0000-0400-000002000000}">
      <text>
        <r>
          <rPr>
            <sz val="8"/>
            <color indexed="81"/>
            <rFont val="Tahoma"/>
            <family val="2"/>
          </rPr>
          <t xml:space="preserve">Enter the traveler's title
</t>
        </r>
      </text>
    </comment>
    <comment ref="B8" authorId="0" shapeId="0" xr:uid="{00000000-0006-0000-0400-000003000000}">
      <text>
        <r>
          <rPr>
            <sz val="8"/>
            <color indexed="81"/>
            <rFont val="Tahoma"/>
            <family val="2"/>
          </rPr>
          <t>Enter the traveler's mailing address</t>
        </r>
      </text>
    </comment>
    <comment ref="I8" authorId="0" shapeId="0" xr:uid="{00000000-0006-0000-0400-000004000000}">
      <text>
        <r>
          <rPr>
            <sz val="8"/>
            <color indexed="81"/>
            <rFont val="Tahoma"/>
            <family val="2"/>
          </rPr>
          <t>Enter the traveler's city</t>
        </r>
      </text>
    </comment>
    <comment ref="B9" authorId="0" shapeId="0" xr:uid="{00000000-0006-0000-0400-000005000000}">
      <text>
        <r>
          <rPr>
            <sz val="8"/>
            <color indexed="81"/>
            <rFont val="Tahoma"/>
            <family val="2"/>
          </rPr>
          <t>Enter the two character state code</t>
        </r>
      </text>
    </comment>
    <comment ref="D9" authorId="0" shapeId="0" xr:uid="{00000000-0006-0000-0400-000006000000}">
      <text>
        <r>
          <rPr>
            <sz val="8"/>
            <color indexed="81"/>
            <rFont val="Tahoma"/>
            <family val="2"/>
          </rPr>
          <t>Enter the traveler's mailing address</t>
        </r>
      </text>
    </comment>
    <comment ref="I9" authorId="0" shapeId="0" xr:uid="{00000000-0006-0000-0400-000007000000}">
      <text>
        <r>
          <rPr>
            <sz val="8"/>
            <color indexed="81"/>
            <rFont val="Tahoma"/>
            <family val="2"/>
          </rPr>
          <t>Enter the city where the traveler's home office is located</t>
        </r>
      </text>
    </comment>
    <comment ref="M9" authorId="0" shapeId="0" xr:uid="{00000000-0006-0000-0400-000008000000}">
      <text>
        <r>
          <rPr>
            <sz val="8"/>
            <color indexed="81"/>
            <rFont val="Tahoma"/>
            <family val="2"/>
          </rPr>
          <t>Enter the city where the traveler's home office is located</t>
        </r>
      </text>
    </comment>
    <comment ref="C10" authorId="0" shapeId="0" xr:uid="{00000000-0006-0000-0400-000009000000}">
      <text>
        <r>
          <rPr>
            <sz val="8"/>
            <color indexed="81"/>
            <rFont val="Tahoma"/>
            <family val="2"/>
          </rPr>
          <t>Enter the Department or Agency which employs the traveler</t>
        </r>
      </text>
    </comment>
    <comment ref="I10" authorId="0" shapeId="0" xr:uid="{00000000-0006-0000-0400-00000A000000}">
      <text>
        <r>
          <rPr>
            <sz val="8"/>
            <color indexed="81"/>
            <rFont val="Tahoma"/>
            <family val="2"/>
          </rPr>
          <t>Enter the applicable division name</t>
        </r>
      </text>
    </comment>
    <comment ref="L10" authorId="0" shapeId="0" xr:uid="{00000000-0006-0000-0400-00000B000000}">
      <text>
        <r>
          <rPr>
            <sz val="8"/>
            <color indexed="81"/>
            <rFont val="Tahoma"/>
            <family val="2"/>
          </rPr>
          <t>Enter the applicable section name</t>
        </r>
      </text>
    </comment>
    <comment ref="C11" authorId="0" shapeId="0" xr:uid="{00000000-0006-0000-0400-00000C000000}">
      <text>
        <r>
          <rPr>
            <sz val="8"/>
            <color indexed="81"/>
            <rFont val="Tahoma"/>
            <family val="2"/>
          </rPr>
          <t>Enter a brief justification as to why this travel was necessary</t>
        </r>
      </text>
    </comment>
    <comment ref="C12" authorId="0" shapeId="0" xr:uid="{00000000-0006-0000-0400-00000D000000}">
      <text>
        <r>
          <rPr>
            <sz val="8"/>
            <color indexed="81"/>
            <rFont val="Tahoma"/>
            <family val="2"/>
          </rPr>
          <t>Place an X here if taking a state car</t>
        </r>
      </text>
    </comment>
    <comment ref="C13" authorId="0" shapeId="0" xr:uid="{00000000-0006-0000-0400-00000E000000}">
      <text>
        <r>
          <rPr>
            <sz val="8"/>
            <color indexed="81"/>
            <rFont val="Tahoma"/>
            <family val="2"/>
          </rPr>
          <t>Place an X here if using the traveler's personal car</t>
        </r>
      </text>
    </comment>
    <comment ref="H13" authorId="0" shapeId="0" xr:uid="{00000000-0006-0000-0400-00000F000000}">
      <text>
        <r>
          <rPr>
            <sz val="8"/>
            <color indexed="81"/>
            <rFont val="Tahoma"/>
            <family val="2"/>
          </rPr>
          <t>Enter a brief justification as to why this travel was necessary</t>
        </r>
      </text>
    </comment>
    <comment ref="A17" authorId="0" shapeId="0" xr:uid="{00000000-0006-0000-0400-000010000000}">
      <text>
        <r>
          <rPr>
            <sz val="8"/>
            <color indexed="81"/>
            <rFont val="Tahoma"/>
            <family val="2"/>
          </rPr>
          <t>Enter the date of travel for this line</t>
        </r>
      </text>
    </comment>
    <comment ref="B17" authorId="0" shapeId="0" xr:uid="{00000000-0006-0000-0400-000011000000}">
      <text>
        <r>
          <rPr>
            <sz val="8"/>
            <color indexed="81"/>
            <rFont val="Tahoma"/>
            <family val="2"/>
          </rPr>
          <t>Enter the times between which the vendor was working in an official business capacity.  Use the following notations:
a for a.m.
p for p.m.
n for noon
m for midnight</t>
        </r>
      </text>
    </comment>
    <comment ref="C17" authorId="0" shapeId="0" xr:uid="{00000000-0006-0000-0400-000012000000}">
      <text>
        <r>
          <rPr>
            <sz val="8"/>
            <color indexed="81"/>
            <rFont val="Tahoma"/>
            <family val="2"/>
          </rPr>
          <t xml:space="preserve">Enter the city and state where the vendor was located on this day.  For transit, enter on one line the departure city and on another line the arrival city
</t>
        </r>
      </text>
    </comment>
    <comment ref="F17" authorId="0" shapeId="0" xr:uid="{00000000-0006-0000-0400-000013000000}">
      <text>
        <r>
          <rPr>
            <sz val="8"/>
            <color indexed="81"/>
            <rFont val="Tahoma"/>
            <family val="2"/>
          </rPr>
          <t xml:space="preserve">Enter the miles traveled, if claiming the standard mileage rate of reimbursement
</t>
        </r>
      </text>
    </comment>
    <comment ref="I17" authorId="0" shapeId="0" xr:uid="{00000000-0006-0000-0400-000014000000}">
      <text>
        <r>
          <rPr>
            <sz val="8"/>
            <color indexed="81"/>
            <rFont val="Tahoma"/>
            <family val="2"/>
          </rPr>
          <t>Enter the total charges incurred to purchase airline tickets and related charges.  Related charges do not include baggage tips or commuting from airport.  List these charges in the other column.</t>
        </r>
      </text>
    </comment>
    <comment ref="J17" authorId="0" shapeId="0" xr:uid="{00000000-0006-0000-0400-000015000000}">
      <text>
        <r>
          <rPr>
            <sz val="8"/>
            <color indexed="81"/>
            <rFont val="Tahoma"/>
            <family val="2"/>
          </rPr>
          <t>If applicable, enter the charges incurred for the  rental vehicle.</t>
        </r>
      </text>
    </comment>
    <comment ref="K17" authorId="0" shapeId="0" xr:uid="{00000000-0006-0000-0400-000016000000}">
      <text>
        <r>
          <rPr>
            <sz val="8"/>
            <color indexed="81"/>
            <rFont val="Tahoma"/>
            <family val="2"/>
          </rPr>
          <t>Enter the meals incurred during travel.  Amounts incurred cannot exceed the per diem meal allowances for the location. Per Diem rates may be found at:
http://policyworks.gov/</t>
        </r>
      </text>
    </comment>
    <comment ref="L17" authorId="0" shapeId="0" xr:uid="{00000000-0006-0000-0400-000017000000}">
      <text>
        <r>
          <rPr>
            <sz val="8"/>
            <color indexed="81"/>
            <rFont val="Tahoma"/>
            <family val="2"/>
          </rPr>
          <t>Enter the total costs incurred in overnight stays.  Hotel and occupancy taxes are allowable charges</t>
        </r>
      </text>
    </comment>
    <comment ref="M17" authorId="0" shapeId="0" xr:uid="{00000000-0006-0000-0400-000018000000}">
      <text>
        <r>
          <rPr>
            <sz val="8"/>
            <color indexed="81"/>
            <rFont val="Tahoma"/>
            <family val="2"/>
          </rPr>
          <t>Enter any miscellaneous charges, such as taxi fares, tolls, baggage handling, etc.</t>
        </r>
      </text>
    </comment>
    <comment ref="A42" authorId="0" shapeId="0" xr:uid="{00000000-0006-0000-0400-000019000000}">
      <text>
        <r>
          <rPr>
            <sz val="8"/>
            <color indexed="81"/>
            <rFont val="Tahoma"/>
            <family val="2"/>
          </rPr>
          <t>Enter the date this expense was incurred</t>
        </r>
      </text>
    </comment>
    <comment ref="F42" authorId="0" shapeId="0" xr:uid="{00000000-0006-0000-0400-00001A000000}">
      <text>
        <r>
          <rPr>
            <sz val="8"/>
            <color indexed="81"/>
            <rFont val="Tahoma"/>
            <family val="2"/>
          </rPr>
          <t>Enter the amount of this expense</t>
        </r>
      </text>
    </comment>
    <comment ref="H42" authorId="0" shapeId="0" xr:uid="{00000000-0006-0000-0400-00001B000000}">
      <text>
        <r>
          <rPr>
            <sz val="8"/>
            <color indexed="81"/>
            <rFont val="Tahoma"/>
            <family val="2"/>
          </rPr>
          <t>Enter the date this direct bill expense was either incurred or paid</t>
        </r>
      </text>
    </comment>
    <comment ref="I42" authorId="0" shapeId="0" xr:uid="{00000000-0006-0000-0400-00001C000000}">
      <text>
        <r>
          <rPr>
            <sz val="8"/>
            <color indexed="81"/>
            <rFont val="Tahoma"/>
            <family val="2"/>
          </rPr>
          <t>Enter the Payment code of this direct bill expense if known:
see below for corresponding codes</t>
        </r>
      </text>
    </comment>
    <comment ref="J42" authorId="0" shapeId="0" xr:uid="{00000000-0006-0000-0400-00001D000000}">
      <text>
        <r>
          <rPr>
            <sz val="8"/>
            <color indexed="81"/>
            <rFont val="Tahoma"/>
            <family val="2"/>
          </rPr>
          <t>Enter the details of this expense if known:
Payee, and brief description of expense</t>
        </r>
      </text>
    </comment>
    <comment ref="N42" authorId="0" shapeId="0" xr:uid="{00000000-0006-0000-0400-00001E000000}">
      <text>
        <r>
          <rPr>
            <sz val="8"/>
            <color indexed="81"/>
            <rFont val="Tahoma"/>
            <family val="2"/>
          </rPr>
          <t>If known, enter the amount of this direct bill expense</t>
        </r>
      </text>
    </comment>
  </commentList>
</comments>
</file>

<file path=xl/sharedStrings.xml><?xml version="1.0" encoding="utf-8"?>
<sst xmlns="http://schemas.openxmlformats.org/spreadsheetml/2006/main" count="2227" uniqueCount="1148">
  <si>
    <t>Name</t>
  </si>
  <si>
    <t>Title</t>
  </si>
  <si>
    <t>Address</t>
  </si>
  <si>
    <t>State of West Virginia</t>
  </si>
  <si>
    <t>WV Northern Community College</t>
  </si>
  <si>
    <t>Date</t>
  </si>
  <si>
    <t>Start Date</t>
  </si>
  <si>
    <t>End Date</t>
  </si>
  <si>
    <t>Start Time</t>
  </si>
  <si>
    <t>Category</t>
  </si>
  <si>
    <t>Personal Car</t>
  </si>
  <si>
    <t>Description</t>
  </si>
  <si>
    <t>Air Fare</t>
  </si>
  <si>
    <t>Parking</t>
  </si>
  <si>
    <t>Breakfast</t>
  </si>
  <si>
    <t>Lunch</t>
  </si>
  <si>
    <t>Dinner</t>
  </si>
  <si>
    <t>Air</t>
  </si>
  <si>
    <t>Lodging</t>
  </si>
  <si>
    <t>Other</t>
  </si>
  <si>
    <t>Travel Request</t>
  </si>
  <si>
    <t>Conference</t>
  </si>
  <si>
    <t>Training</t>
  </si>
  <si>
    <t>Recruiting</t>
  </si>
  <si>
    <t>Teaching</t>
  </si>
  <si>
    <t>Professional Development</t>
  </si>
  <si>
    <t>Description:</t>
  </si>
  <si>
    <t>Air Travel</t>
  </si>
  <si>
    <t>Cost</t>
  </si>
  <si>
    <t>End Time</t>
  </si>
  <si>
    <t>Meal Allowance</t>
  </si>
  <si>
    <t>Hotel</t>
  </si>
  <si>
    <t>Taxi / Ground Transport</t>
  </si>
  <si>
    <t>Registration Fee</t>
  </si>
  <si>
    <t>(Date)</t>
  </si>
  <si>
    <t>Total</t>
  </si>
  <si>
    <t>Not_Allowable</t>
  </si>
  <si>
    <t>From</t>
  </si>
  <si>
    <t>Destination</t>
  </si>
  <si>
    <t>Housekeeping Tip</t>
  </si>
  <si>
    <t>Receipt-Yes_No</t>
  </si>
  <si>
    <t>Pcard-Yes_No</t>
  </si>
  <si>
    <t>Total_Receipt</t>
  </si>
  <si>
    <t>Car Assist</t>
  </si>
  <si>
    <t>Purpose of Travel (Mark 'X')</t>
  </si>
  <si>
    <r>
      <rPr>
        <b/>
        <sz val="11"/>
        <color theme="1"/>
        <rFont val="Times New Roman"/>
        <family val="1"/>
      </rPr>
      <t xml:space="preserve">Yellow Cells </t>
    </r>
    <r>
      <rPr>
        <sz val="11"/>
        <color theme="1"/>
        <rFont val="Times New Roman"/>
        <family val="1"/>
      </rPr>
      <t>are all necessary</t>
    </r>
  </si>
  <si>
    <t>B.O. Assist</t>
  </si>
  <si>
    <t>Updated workbook for use when completing settlement</t>
  </si>
  <si>
    <t>Gratuity</t>
  </si>
  <si>
    <r>
      <t xml:space="preserve">Identify whether a </t>
    </r>
    <r>
      <rPr>
        <b/>
        <sz val="11"/>
        <color theme="1"/>
        <rFont val="Times New Roman"/>
        <family val="1"/>
      </rPr>
      <t>P-Card</t>
    </r>
    <r>
      <rPr>
        <sz val="11"/>
        <color theme="1"/>
        <rFont val="Times New Roman"/>
        <family val="1"/>
      </rPr>
      <t xml:space="preserve"> was used, or not, for each expense</t>
    </r>
  </si>
  <si>
    <r>
      <rPr>
        <b/>
        <sz val="11"/>
        <color theme="1"/>
        <rFont val="Times New Roman"/>
        <family val="1"/>
      </rPr>
      <t xml:space="preserve">Mileage </t>
    </r>
    <r>
      <rPr>
        <sz val="11"/>
        <color theme="1"/>
        <rFont val="Times New Roman"/>
        <family val="1"/>
      </rPr>
      <t>for personal vehicle is entered instead of reimbursement amount.</t>
    </r>
  </si>
  <si>
    <r>
      <t xml:space="preserve">Select from the drop down menu for </t>
    </r>
    <r>
      <rPr>
        <b/>
        <sz val="11"/>
        <color theme="1"/>
        <rFont val="Times New Roman"/>
        <family val="1"/>
      </rPr>
      <t>Category and Description</t>
    </r>
  </si>
  <si>
    <r>
      <rPr>
        <b/>
        <sz val="11"/>
        <color theme="1"/>
        <rFont val="Times New Roman"/>
        <family val="1"/>
      </rPr>
      <t>Traveling By Car</t>
    </r>
    <r>
      <rPr>
        <sz val="11"/>
        <color theme="1"/>
        <rFont val="Times New Roman"/>
        <family val="1"/>
      </rPr>
      <t xml:space="preserve"> always select "Personal" and enter total mileage.  The Travel Coordinator will return  the actual arrangements.</t>
    </r>
  </si>
  <si>
    <r>
      <rPr>
        <b/>
        <sz val="11"/>
        <color theme="1"/>
        <rFont val="Times New Roman"/>
        <family val="1"/>
      </rPr>
      <t>E-mail the workbook</t>
    </r>
    <r>
      <rPr>
        <sz val="11"/>
        <color theme="1"/>
        <rFont val="Times New Roman"/>
        <family val="1"/>
      </rPr>
      <t xml:space="preserve"> with completed 'Request' for review and signature of supervisor.  </t>
    </r>
  </si>
  <si>
    <r>
      <rPr>
        <b/>
        <sz val="11"/>
        <color rgb="FFFF0000"/>
        <rFont val="Times New Roman"/>
        <family val="1"/>
      </rPr>
      <t>Traveler</t>
    </r>
    <r>
      <rPr>
        <sz val="11"/>
        <color theme="1"/>
        <rFont val="Times New Roman"/>
        <family val="1"/>
      </rPr>
      <t xml:space="preserve"> completes a 'Request'</t>
    </r>
  </si>
  <si>
    <r>
      <rPr>
        <b/>
        <sz val="11"/>
        <color theme="1"/>
        <rFont val="Times New Roman"/>
        <family val="1"/>
      </rPr>
      <t xml:space="preserve">Sign </t>
    </r>
    <r>
      <rPr>
        <sz val="11"/>
        <color theme="1"/>
        <rFont val="Times New Roman"/>
        <family val="1"/>
      </rPr>
      <t>the 'Settlement'</t>
    </r>
  </si>
  <si>
    <r>
      <rPr>
        <b/>
        <sz val="11"/>
        <color theme="1"/>
        <rFont val="Times New Roman"/>
        <family val="1"/>
      </rPr>
      <t xml:space="preserve">Print </t>
    </r>
    <r>
      <rPr>
        <sz val="11"/>
        <color theme="1"/>
        <rFont val="Times New Roman"/>
        <family val="1"/>
      </rPr>
      <t>the 'Settlement', 'Expenses', and 'Request'</t>
    </r>
  </si>
  <si>
    <r>
      <t xml:space="preserve">Identify whether a </t>
    </r>
    <r>
      <rPr>
        <b/>
        <sz val="11"/>
        <color theme="1"/>
        <rFont val="Times New Roman"/>
        <family val="1"/>
      </rPr>
      <t>Receipts</t>
    </r>
    <r>
      <rPr>
        <sz val="11"/>
        <color theme="1"/>
        <rFont val="Times New Roman"/>
        <family val="1"/>
      </rPr>
      <t xml:space="preserve"> is available, or not, for each expense </t>
    </r>
  </si>
  <si>
    <r>
      <rPr>
        <b/>
        <sz val="11"/>
        <color theme="1"/>
        <rFont val="Times New Roman"/>
        <family val="1"/>
      </rPr>
      <t xml:space="preserve">Sign </t>
    </r>
    <r>
      <rPr>
        <sz val="11"/>
        <color theme="1"/>
        <rFont val="Times New Roman"/>
        <family val="1"/>
      </rPr>
      <t>the 'Settlement' and 'Expenses'</t>
    </r>
  </si>
  <si>
    <r>
      <rPr>
        <b/>
        <sz val="11"/>
        <color rgb="FFFF0000"/>
        <rFont val="Times New Roman"/>
        <family val="1"/>
      </rPr>
      <t>Supervisors</t>
    </r>
    <r>
      <rPr>
        <sz val="11"/>
        <color theme="1"/>
        <rFont val="Times New Roman"/>
        <family val="1"/>
      </rPr>
      <t xml:space="preserve"> approval</t>
    </r>
  </si>
  <si>
    <r>
      <rPr>
        <b/>
        <sz val="11"/>
        <color theme="1"/>
        <rFont val="Times New Roman"/>
        <family val="1"/>
      </rPr>
      <t xml:space="preserve">Review  </t>
    </r>
    <r>
      <rPr>
        <sz val="11"/>
        <color theme="1"/>
        <rFont val="Times New Roman"/>
        <family val="1"/>
      </rPr>
      <t>for accuracy and inclusion of all receipts / signatures</t>
    </r>
  </si>
  <si>
    <r>
      <rPr>
        <b/>
        <sz val="11"/>
        <color rgb="FFFF0000"/>
        <rFont val="Times New Roman"/>
        <family val="1"/>
      </rPr>
      <t>CFO</t>
    </r>
    <r>
      <rPr>
        <sz val="11"/>
        <color theme="1"/>
        <rFont val="Times New Roman"/>
        <family val="1"/>
      </rPr>
      <t xml:space="preserve"> approval</t>
    </r>
  </si>
  <si>
    <r>
      <rPr>
        <b/>
        <sz val="11"/>
        <color theme="1"/>
        <rFont val="Times New Roman"/>
        <family val="1"/>
      </rPr>
      <t xml:space="preserve">Submit </t>
    </r>
    <r>
      <rPr>
        <sz val="11"/>
        <color theme="1"/>
        <rFont val="Times New Roman"/>
        <family val="1"/>
      </rPr>
      <t>for reimbursement</t>
    </r>
  </si>
  <si>
    <r>
      <rPr>
        <b/>
        <sz val="11"/>
        <color theme="1"/>
        <rFont val="Times New Roman"/>
        <family val="1"/>
      </rPr>
      <t xml:space="preserve">Review  </t>
    </r>
    <r>
      <rPr>
        <sz val="11"/>
        <color theme="1"/>
        <rFont val="Times New Roman"/>
        <family val="1"/>
      </rPr>
      <t>for accuracy and inclusion of all receipts / signatures (compare to saved Travel Request)</t>
    </r>
  </si>
  <si>
    <r>
      <rPr>
        <b/>
        <sz val="11"/>
        <color theme="1"/>
        <rFont val="Times New Roman"/>
        <family val="1"/>
      </rPr>
      <t xml:space="preserve">E-mail </t>
    </r>
    <r>
      <rPr>
        <sz val="11"/>
        <color theme="1"/>
        <rFont val="Times New Roman"/>
        <family val="1"/>
      </rPr>
      <t>traveler to update</t>
    </r>
  </si>
  <si>
    <t>Detailed accommodations if necessary</t>
  </si>
  <si>
    <t xml:space="preserve">Enter all items associated with the travel (including P-Card transactions) on "Expenses" </t>
  </si>
  <si>
    <r>
      <t xml:space="preserve">All </t>
    </r>
    <r>
      <rPr>
        <b/>
        <sz val="11"/>
        <color theme="1"/>
        <rFont val="Times New Roman"/>
        <family val="1"/>
      </rPr>
      <t>Receipt</t>
    </r>
    <r>
      <rPr>
        <sz val="11"/>
        <color theme="1"/>
        <rFont val="Times New Roman"/>
        <family val="1"/>
      </rPr>
      <t xml:space="preserve"> </t>
    </r>
    <r>
      <rPr>
        <b/>
        <sz val="11"/>
        <color theme="1"/>
        <rFont val="Times New Roman"/>
        <family val="1"/>
      </rPr>
      <t>amounts</t>
    </r>
    <r>
      <rPr>
        <sz val="11"/>
        <color theme="1"/>
        <rFont val="Times New Roman"/>
        <family val="1"/>
      </rPr>
      <t xml:space="preserve"> should match the total on the receipts.  Items not reimbursable (alcohol, etc.) are subtracted from the total receipt amount.</t>
    </r>
  </si>
  <si>
    <t>Intercampus</t>
  </si>
  <si>
    <r>
      <rPr>
        <b/>
        <sz val="11"/>
        <color theme="1"/>
        <rFont val="Times New Roman"/>
        <family val="1"/>
      </rPr>
      <t>Forward</t>
    </r>
    <r>
      <rPr>
        <sz val="11"/>
        <color theme="1"/>
        <rFont val="Times New Roman"/>
        <family val="1"/>
      </rPr>
      <t xml:space="preserve"> all documents with original receipts (Including items pre-paid by P-Card) to supervisor </t>
    </r>
  </si>
  <si>
    <r>
      <rPr>
        <b/>
        <sz val="11"/>
        <color theme="1"/>
        <rFont val="Times New Roman"/>
        <family val="1"/>
      </rPr>
      <t>Forward</t>
    </r>
    <r>
      <rPr>
        <sz val="11"/>
        <color theme="1"/>
        <rFont val="Times New Roman"/>
        <family val="1"/>
      </rPr>
      <t xml:space="preserve"> all documents with original receipts (Including items pre-paid by P-Card) to CFO </t>
    </r>
  </si>
  <si>
    <t>Business Office Notes:</t>
  </si>
  <si>
    <t>Travelers' Notes:</t>
  </si>
  <si>
    <t>X</t>
  </si>
  <si>
    <t>Oasis ID:</t>
  </si>
  <si>
    <t>Work Hours</t>
  </si>
  <si>
    <t>TO</t>
  </si>
  <si>
    <t>Presidents Office</t>
  </si>
  <si>
    <t>Executive Director</t>
  </si>
  <si>
    <t>Classified Staff Council</t>
  </si>
  <si>
    <t>Institutional Research</t>
  </si>
  <si>
    <t>WVNCC Foundation</t>
  </si>
  <si>
    <t>Human Resources Office</t>
  </si>
  <si>
    <t>Employee Recongition Dinner</t>
  </si>
  <si>
    <t>Compliance</t>
  </si>
  <si>
    <t>All College Day</t>
  </si>
  <si>
    <t>Court Related Costs</t>
  </si>
  <si>
    <t>College Expansion Project</t>
  </si>
  <si>
    <t>Business Office</t>
  </si>
  <si>
    <t>Contingency Budget</t>
  </si>
  <si>
    <t>Printing, Postage and Supplies</t>
  </si>
  <si>
    <t>Campus Security</t>
  </si>
  <si>
    <t>Accounts Receivable</t>
  </si>
  <si>
    <t>ECSI Building</t>
  </si>
  <si>
    <t>Personal Services Summary</t>
  </si>
  <si>
    <t>Capital Budget</t>
  </si>
  <si>
    <t>Plant Operations Maint B&amp;O</t>
  </si>
  <si>
    <t>Plant Operations Maint Weirton</t>
  </si>
  <si>
    <t>Plant Operations Maint NM</t>
  </si>
  <si>
    <t>Plant Operations Maint Ed Center</t>
  </si>
  <si>
    <t>Applied Technology Center</t>
  </si>
  <si>
    <t>Student Center/B&amp;N</t>
  </si>
  <si>
    <t>Maintenance Facility</t>
  </si>
  <si>
    <t>WESCO Buidling</t>
  </si>
  <si>
    <t>HLC Accreditation</t>
  </si>
  <si>
    <t>Counseling - Wheeling</t>
  </si>
  <si>
    <t>Social Justice Grant</t>
  </si>
  <si>
    <t>Weirton Campus Dean</t>
  </si>
  <si>
    <t>Counseling - Weirton</t>
  </si>
  <si>
    <t>Weirton Campus Janitorial</t>
  </si>
  <si>
    <t>New Martinsville Campus Dean</t>
  </si>
  <si>
    <t>Counseling - New Martinsville</t>
  </si>
  <si>
    <t>New Martins Campus Janitorial</t>
  </si>
  <si>
    <t>Student Support Center</t>
  </si>
  <si>
    <t>Student Disabilities</t>
  </si>
  <si>
    <t>Transitional Education Program</t>
  </si>
  <si>
    <t>Student Orientation</t>
  </si>
  <si>
    <t>Financial Aid Directors Office</t>
  </si>
  <si>
    <t>Veterans Office</t>
  </si>
  <si>
    <t>Student Records</t>
  </si>
  <si>
    <t>Enrollments Management</t>
  </si>
  <si>
    <t>Wheeling Student Services</t>
  </si>
  <si>
    <t>Admissions</t>
  </si>
  <si>
    <t>Career Planning Placement Office</t>
  </si>
  <si>
    <t>Commencement</t>
  </si>
  <si>
    <t>ACCE Travel</t>
  </si>
  <si>
    <t>Student Activity Director</t>
  </si>
  <si>
    <t>Tri-Campus Student Senate</t>
  </si>
  <si>
    <t>Student Publications</t>
  </si>
  <si>
    <t>Student Sports Program</t>
  </si>
  <si>
    <t>COOP</t>
  </si>
  <si>
    <t>Phi Theta Kappa</t>
  </si>
  <si>
    <t>Student Activities General Fund</t>
  </si>
  <si>
    <t>Kids on Campus</t>
  </si>
  <si>
    <t>Liberal Arts, Commication &amp; SS</t>
  </si>
  <si>
    <t>Applied Technologies-RAH</t>
  </si>
  <si>
    <t>Culinary Arts Program</t>
  </si>
  <si>
    <t>Allied Health</t>
  </si>
  <si>
    <t>Nursing</t>
  </si>
  <si>
    <t>Learning Resource Center</t>
  </si>
  <si>
    <t>Distance Education Coordinator</t>
  </si>
  <si>
    <t>VP of Academic Affairs</t>
  </si>
  <si>
    <t>Perkins</t>
  </si>
  <si>
    <t>Community Relations</t>
  </si>
  <si>
    <t>Workstudy Payroll</t>
  </si>
  <si>
    <t>Economic &amp; Workforce Development</t>
  </si>
  <si>
    <t>Contracted Instruction</t>
  </si>
  <si>
    <t>Tech Prep/Edge</t>
  </si>
  <si>
    <t>Small Business Dev Ctr</t>
  </si>
  <si>
    <t>Training for Small Business</t>
  </si>
  <si>
    <t>Continuing Education</t>
  </si>
  <si>
    <t>Trade Adjust Act</t>
  </si>
  <si>
    <t>Table Gaming WI</t>
  </si>
  <si>
    <t>Table Gaming MTR</t>
  </si>
  <si>
    <t>Workforce Center Development</t>
  </si>
  <si>
    <t>Telecommunication Services</t>
  </si>
  <si>
    <t>College Technology Support</t>
  </si>
  <si>
    <t>Computer Center</t>
  </si>
  <si>
    <t>IT Director</t>
  </si>
  <si>
    <t>CART Revenue Clearing Account</t>
  </si>
  <si>
    <t>Math Tutoring Lab</t>
  </si>
  <si>
    <t>Manufacturing Systems Technology</t>
  </si>
  <si>
    <t>Benedum Project FY13</t>
  </si>
  <si>
    <t>Mechatronics Program Grant</t>
  </si>
  <si>
    <t>Petroleum Technology Program Grant</t>
  </si>
  <si>
    <t>Bridging the Gap Grant FY14 - FY16</t>
  </si>
  <si>
    <t>Degree Now Marketing Grant</t>
  </si>
  <si>
    <t>Enhancing Training Oil &amp; Gas Indust</t>
  </si>
  <si>
    <t>ArcelorMittal MTM/MTE Training Gran</t>
  </si>
  <si>
    <t>Technical Program Development Grant</t>
  </si>
  <si>
    <t>Dept_No</t>
  </si>
  <si>
    <t>Department</t>
  </si>
  <si>
    <t>Dept #</t>
  </si>
  <si>
    <t>Dept Name</t>
  </si>
  <si>
    <t>(and return)</t>
  </si>
  <si>
    <t>No</t>
  </si>
  <si>
    <t>Home Campus(HQ)</t>
  </si>
  <si>
    <t>City</t>
  </si>
  <si>
    <t>Beckley, WV</t>
  </si>
  <si>
    <t>Bluefield, WV</t>
  </si>
  <si>
    <t>Buckhannon, WV</t>
  </si>
  <si>
    <t>Cameron, WV</t>
  </si>
  <si>
    <t>Canaan Valley, WV</t>
  </si>
  <si>
    <t>Charleston, WV</t>
  </si>
  <si>
    <t>Chester, WV</t>
  </si>
  <si>
    <t>Clarksburg, WV</t>
  </si>
  <si>
    <t>Dunbar, WV</t>
  </si>
  <si>
    <t>Elm Grove, WV</t>
  </si>
  <si>
    <t>Fairmont, WV</t>
  </si>
  <si>
    <t>Flatwoods, WV</t>
  </si>
  <si>
    <t>Follansbee, WV</t>
  </si>
  <si>
    <t>Glen Dale, WV</t>
  </si>
  <si>
    <t xml:space="preserve">Glenville, WV </t>
  </si>
  <si>
    <t>Harpers Ferry, WV</t>
  </si>
  <si>
    <t>Huntington, WV</t>
  </si>
  <si>
    <t>Institute, WV</t>
  </si>
  <si>
    <t>Jackson Mills, WV</t>
  </si>
  <si>
    <t>Southern Comm College</t>
  </si>
  <si>
    <t>Martins Ferry, OH</t>
  </si>
  <si>
    <t>Morgantown, WV</t>
  </si>
  <si>
    <t>Moundsville, WV</t>
  </si>
  <si>
    <t xml:space="preserve">New Martinsville, WV </t>
  </si>
  <si>
    <t>North Bend State Park</t>
  </si>
  <si>
    <t>Oglebay Park</t>
  </si>
  <si>
    <t>Paden City, WV</t>
  </si>
  <si>
    <t>Parkersburg, WV</t>
  </si>
  <si>
    <t>Pipestem, WV</t>
  </si>
  <si>
    <t>Pittsburgh, PA</t>
  </si>
  <si>
    <t>Ripley, WV</t>
  </si>
  <si>
    <t>Shepard, WV</t>
  </si>
  <si>
    <t>Sistersville, WV</t>
  </si>
  <si>
    <t>St Clairsville, OH</t>
  </si>
  <si>
    <t>Steubenville, OH</t>
  </si>
  <si>
    <t>Washington, DC</t>
  </si>
  <si>
    <t>Waynsburg, PA</t>
  </si>
  <si>
    <t>Weirton, WV</t>
  </si>
  <si>
    <t>Wellsburg, WV</t>
  </si>
  <si>
    <t>West Liberty, WV</t>
  </si>
  <si>
    <t>Wheeling, WV</t>
  </si>
  <si>
    <t>New Martinsville, WV</t>
  </si>
  <si>
    <t>Rental Cost</t>
  </si>
  <si>
    <t>Professional Development Request</t>
  </si>
  <si>
    <t>Professional Development funds may be requested for transportation, lodging, meals, and registration fees for professional development opportunities.  Neither resource materials nor professional organization dues should be included (unless included in conference/workshop registration fees.)</t>
  </si>
  <si>
    <t>Conference / Workshop Information</t>
  </si>
  <si>
    <t>Organization</t>
  </si>
  <si>
    <t>Requested</t>
  </si>
  <si>
    <t>Post Activity</t>
  </si>
  <si>
    <t>Upon completion of the approved professional development, a questionnaire is to be completed regarding the attended event.  The Professional Development Committee will use the provided information in the decision-making process for future requests, to promote possible additional options for professional development such as on-campus speakers and presentations, and/or to request that the individual provide a session which could be helpful to other employees.</t>
  </si>
  <si>
    <t>Professional Development Notes</t>
  </si>
  <si>
    <t xml:space="preserve">
</t>
  </si>
  <si>
    <r>
      <t xml:space="preserve">1.  Complete travel request (Request Tab - </t>
    </r>
    <r>
      <rPr>
        <i/>
        <u/>
        <sz val="10"/>
        <color theme="1"/>
        <rFont val="Times New Roman"/>
        <family val="1"/>
      </rPr>
      <t>Choose "Professional Devl for Travel Type to Populate Above Info</t>
    </r>
    <r>
      <rPr>
        <i/>
        <sz val="10"/>
        <color theme="1"/>
        <rFont val="Times New Roman"/>
        <family val="1"/>
      </rPr>
      <t xml:space="preserve">)
2.  Complete this form
3.  Forward to immediate Supervisor for approval
4.  Supervisor review &amp; approve then forward to Professional Devl. Committee (Currently Peggy Carmichael.)
5.  Prof. Devl review and approve then forward to Travel@wvncc.edu.
6.  Travel Office will return approved travel forms to the traveler
</t>
    </r>
  </si>
  <si>
    <t>If neither Perkins, or Professional Development, e-mail to Travel@wvncc.edu and copy in the traveler</t>
  </si>
  <si>
    <r>
      <rPr>
        <b/>
        <sz val="11"/>
        <color theme="1"/>
        <rFont val="Times New Roman"/>
        <family val="1"/>
      </rPr>
      <t>Professional Development</t>
    </r>
    <r>
      <rPr>
        <sz val="11"/>
        <color theme="1"/>
        <rFont val="Times New Roman"/>
        <family val="1"/>
      </rPr>
      <t xml:space="preserve"> requests complete the PD Request tab as well.</t>
    </r>
  </si>
  <si>
    <t>Rental Car</t>
  </si>
  <si>
    <t>Gas (For State Car)</t>
  </si>
  <si>
    <t>Gas (For Rental Car)</t>
  </si>
  <si>
    <t>***</t>
  </si>
  <si>
    <t>Registration (Out of State)</t>
  </si>
  <si>
    <t>Registration (In State)</t>
  </si>
  <si>
    <t>79H127</t>
  </si>
  <si>
    <t>Line Item (Hide)</t>
  </si>
  <si>
    <t>Line_Item</t>
  </si>
  <si>
    <t>Baggage</t>
  </si>
  <si>
    <t>79H150</t>
  </si>
  <si>
    <t>79H157</t>
  </si>
  <si>
    <t>79H158</t>
  </si>
  <si>
    <t>79H132</t>
  </si>
  <si>
    <t>Grouping
(Hide)</t>
  </si>
  <si>
    <t>Tolls</t>
  </si>
  <si>
    <t>Hotel Room</t>
  </si>
  <si>
    <t>Ground Transportation</t>
  </si>
  <si>
    <t>LOC.</t>
  </si>
  <si>
    <t>ACT.</t>
  </si>
  <si>
    <t>FUNCTION</t>
  </si>
  <si>
    <t>ENTITLE. YEAR</t>
  </si>
  <si>
    <t>PROG.</t>
  </si>
  <si>
    <t>MAJOR PROGRAM</t>
  </si>
  <si>
    <t>AMOUNT</t>
  </si>
  <si>
    <t>SUB OBJ</t>
  </si>
  <si>
    <t>OBJ</t>
  </si>
  <si>
    <t>APPROP</t>
  </si>
  <si>
    <t>UNIT</t>
  </si>
  <si>
    <t>DEPT</t>
  </si>
  <si>
    <t>FY</t>
  </si>
  <si>
    <t>SUB FUND</t>
  </si>
  <si>
    <t>FUND</t>
  </si>
  <si>
    <t>AGENCY ACCOUNTING INFORMATION</t>
  </si>
  <si>
    <t>Approval Agency Head/Designee</t>
  </si>
  <si>
    <t>I certify that I have personally examined and approved the Travel Expense Settlement and the terms of expenses are reasonable and correspond to the assigned duties of the traveler and meet applicable Travel Regulations and are within the budget of this spending unit.</t>
  </si>
  <si>
    <t>Approval Supervisor/Agency Head</t>
  </si>
  <si>
    <t>Traveler's Signature</t>
  </si>
  <si>
    <t>Notes and Comments for Clarification</t>
  </si>
  <si>
    <t>PAID BY OTHER SOURCE</t>
  </si>
  <si>
    <t>OTHER</t>
  </si>
  <si>
    <t>CASH ADVANCE ISSUED</t>
  </si>
  <si>
    <t>ADV</t>
  </si>
  <si>
    <t>I certify that all expenses submitted for reimbursement accurately reflect costs incurred in connection with assigned duties of the traveler performed for a legitimate government reason and are not reimbursable from any other source.</t>
  </si>
  <si>
    <t>PURCHASE CARD</t>
  </si>
  <si>
    <t>PCARD</t>
  </si>
  <si>
    <t>DIRECT BILLED TO AGENCY</t>
  </si>
  <si>
    <t>DB</t>
  </si>
  <si>
    <t>Total Reimbursable Amount</t>
  </si>
  <si>
    <t>PMT CODES</t>
  </si>
  <si>
    <t>Total Paid By Other Sources/Advances</t>
  </si>
  <si>
    <t>Total Other Expenses</t>
  </si>
  <si>
    <t>Total Paid By Other Sources/Advances page 2</t>
  </si>
  <si>
    <t>Total Other Expenses page 2</t>
  </si>
  <si>
    <t>ITEM AND VENDOR</t>
  </si>
  <si>
    <t>PMT CODE</t>
  </si>
  <si>
    <t>DATE</t>
  </si>
  <si>
    <t>ITEMS</t>
  </si>
  <si>
    <r>
      <t>EXPENSES PAID BY OTHER SOURCES/ADVANCES</t>
    </r>
    <r>
      <rPr>
        <b/>
        <sz val="10"/>
        <color indexed="10"/>
        <rFont val="Arial"/>
        <family val="2"/>
      </rPr>
      <t xml:space="preserve"> (attach receipt copies)</t>
    </r>
  </si>
  <si>
    <t>OTHER EXPENSES</t>
  </si>
  <si>
    <t>https://www.gsa.gov/travel/plan-book/per-diem-rates/per-diem-rates-lookup</t>
  </si>
  <si>
    <t>*GSA Meals &amp; Incidentals (M&amp;IE):</t>
  </si>
  <si>
    <t>TOTALS</t>
  </si>
  <si>
    <t>Total Expenses page 2</t>
  </si>
  <si>
    <t>TOTAL</t>
  </si>
  <si>
    <t>LODGING</t>
  </si>
  <si>
    <t>M &amp; IE*</t>
  </si>
  <si>
    <t>CAR RENTAL</t>
  </si>
  <si>
    <t>AIR</t>
  </si>
  <si>
    <t>MILES</t>
  </si>
  <si>
    <t>CITY/STATE</t>
  </si>
  <si>
    <t>TIME</t>
  </si>
  <si>
    <t>NO</t>
  </si>
  <si>
    <t xml:space="preserve"> IF YES, ATTACH COMPLETED REGISTRATION FORM AND ENTER FEE AMOUNT IN "OTHER" SECTION BELOW (if fee is applicable)</t>
  </si>
  <si>
    <t>YES</t>
  </si>
  <si>
    <r>
      <t xml:space="preserve">REGISTRATION REQUIRED? </t>
    </r>
    <r>
      <rPr>
        <b/>
        <sz val="10"/>
        <rFont val="Arial"/>
        <family val="2"/>
      </rPr>
      <t xml:space="preserve">  </t>
    </r>
  </si>
  <si>
    <t>Current Mileage Rate</t>
  </si>
  <si>
    <t>Personal Car:</t>
  </si>
  <si>
    <t>https://www.gsa.gov/travel/plan-book/transportation-airfare-rates-pov-rates/privately-owned-vehicle-pov-mileage-reimbursement-rates</t>
  </si>
  <si>
    <t>State Car:</t>
  </si>
  <si>
    <t>Travel Purpose:</t>
  </si>
  <si>
    <t>Section:</t>
  </si>
  <si>
    <t>Division:</t>
  </si>
  <si>
    <t>Department:</t>
  </si>
  <si>
    <t>Normal Work Hours:</t>
  </si>
  <si>
    <t>Headquarters:</t>
  </si>
  <si>
    <t>ZIP:</t>
  </si>
  <si>
    <t>State:</t>
  </si>
  <si>
    <t>City:</t>
  </si>
  <si>
    <t>Address:</t>
  </si>
  <si>
    <t>WVOASIS ID:</t>
  </si>
  <si>
    <t>Title:</t>
  </si>
  <si>
    <t>Name:</t>
  </si>
  <si>
    <t>NON-EMPLOYEE TRAVEL</t>
  </si>
  <si>
    <t>IF SUBMITTING A NON-EMPLOYEE TRAVEL REIMBURSEMENT, A COPY OF THE CONTRACT/AGREEMENT MUST BE ATTACHED.</t>
  </si>
  <si>
    <t>EMPLOYEE TRAVEL</t>
  </si>
  <si>
    <t>TRAVEL EXPENSE ACCOUNT SETTLEMENT</t>
  </si>
  <si>
    <t>STATE OF WEST VIRGINIA</t>
  </si>
  <si>
    <t>TOTALS page 2</t>
  </si>
  <si>
    <t>M&amp;IE</t>
  </si>
  <si>
    <t>TRAVEL EXPENSE ACCOUNT SETTLEMENT (cont'd)</t>
  </si>
  <si>
    <t>Miles</t>
  </si>
  <si>
    <t>Pcard Counter</t>
  </si>
  <si>
    <t>Other Counter</t>
  </si>
  <si>
    <t>Look Up Helper</t>
  </si>
  <si>
    <t>Vendor Name / Description</t>
  </si>
  <si>
    <t>City, State</t>
  </si>
  <si>
    <t>Counter Help</t>
  </si>
  <si>
    <t>Car Rental</t>
  </si>
  <si>
    <t>Notes:</t>
  </si>
  <si>
    <t>Employee Last Name</t>
  </si>
  <si>
    <t>Employee First Name</t>
  </si>
  <si>
    <t>Employee MI</t>
  </si>
  <si>
    <t>ABRAHAM</t>
  </si>
  <si>
    <t>AUDREY</t>
  </si>
  <si>
    <t>J</t>
  </si>
  <si>
    <t>ADAMSON</t>
  </si>
  <si>
    <t>TROY</t>
  </si>
  <si>
    <t>M</t>
  </si>
  <si>
    <t>ANDENORA</t>
  </si>
  <si>
    <t>STEPHANIE</t>
  </si>
  <si>
    <t>A</t>
  </si>
  <si>
    <t>ASPENLEITER</t>
  </si>
  <si>
    <t>SARAH</t>
  </si>
  <si>
    <t>AULICK</t>
  </si>
  <si>
    <t>KRISTI</t>
  </si>
  <si>
    <t>BAKER</t>
  </si>
  <si>
    <t>CHANA</t>
  </si>
  <si>
    <t>L</t>
  </si>
  <si>
    <t>MELANIE</t>
  </si>
  <si>
    <t>R</t>
  </si>
  <si>
    <t>BARNETT</t>
  </si>
  <si>
    <t>HANNAH</t>
  </si>
  <si>
    <t>BARNHARDT</t>
  </si>
  <si>
    <t>DAVID</t>
  </si>
  <si>
    <t>BARRY</t>
  </si>
  <si>
    <t>CHRISTOPHER</t>
  </si>
  <si>
    <t>D</t>
  </si>
  <si>
    <t>BEATTY</t>
  </si>
  <si>
    <t>ADAM</t>
  </si>
  <si>
    <t>B</t>
  </si>
  <si>
    <t>BECKER</t>
  </si>
  <si>
    <t>TAMI</t>
  </si>
  <si>
    <t>S</t>
  </si>
  <si>
    <t>JOSHUA</t>
  </si>
  <si>
    <t>BELL</t>
  </si>
  <si>
    <t>RICHARD</t>
  </si>
  <si>
    <t>T</t>
  </si>
  <si>
    <t>BENNETT</t>
  </si>
  <si>
    <t>DEBORAH</t>
  </si>
  <si>
    <t>BENNINGTON-LUCARELLI</t>
  </si>
  <si>
    <t>MICHELLE</t>
  </si>
  <si>
    <t>BILLS</t>
  </si>
  <si>
    <t>DENNIS</t>
  </si>
  <si>
    <t>E</t>
  </si>
  <si>
    <t>BLAHA</t>
  </si>
  <si>
    <t>REGAN</t>
  </si>
  <si>
    <t>BLAIR</t>
  </si>
  <si>
    <t>LEE ANN</t>
  </si>
  <si>
    <t>BLAWUT</t>
  </si>
  <si>
    <t>DANA</t>
  </si>
  <si>
    <t>BOWERS</t>
  </si>
  <si>
    <t>JANE</t>
  </si>
  <si>
    <t>BRADLEY</t>
  </si>
  <si>
    <t>FREDA</t>
  </si>
  <si>
    <t>BREM</t>
  </si>
  <si>
    <t>JOSEPH</t>
  </si>
  <si>
    <t>BRITT</t>
  </si>
  <si>
    <t>JOYCE</t>
  </si>
  <si>
    <t>BROWN</t>
  </si>
  <si>
    <t>LARRY</t>
  </si>
  <si>
    <t>K</t>
  </si>
  <si>
    <t>LISA</t>
  </si>
  <si>
    <t>RICO</t>
  </si>
  <si>
    <t>SAMUEL</t>
  </si>
  <si>
    <t>BUCHANAN</t>
  </si>
  <si>
    <t>HOLLIE</t>
  </si>
  <si>
    <t>BUSH</t>
  </si>
  <si>
    <t>KELLY</t>
  </si>
  <si>
    <t>N</t>
  </si>
  <si>
    <t>CALINGER</t>
  </si>
  <si>
    <t>BROOKE</t>
  </si>
  <si>
    <t>CANTER</t>
  </si>
  <si>
    <t>RAYMOND</t>
  </si>
  <si>
    <t>CAPPICCIE</t>
  </si>
  <si>
    <t>GINA</t>
  </si>
  <si>
    <t>CARDELLO</t>
  </si>
  <si>
    <t>HENRY</t>
  </si>
  <si>
    <t>CARMICHAEL</t>
  </si>
  <si>
    <t>PEGGY</t>
  </si>
  <si>
    <t>CARR</t>
  </si>
  <si>
    <t>ERIN</t>
  </si>
  <si>
    <t>CASPER</t>
  </si>
  <si>
    <t>RICK</t>
  </si>
  <si>
    <t>CASTELLO</t>
  </si>
  <si>
    <t>BERNARD</t>
  </si>
  <si>
    <t>CASTILOW</t>
  </si>
  <si>
    <t>JUSTIN</t>
  </si>
  <si>
    <t>C</t>
  </si>
  <si>
    <t>CERCONE</t>
  </si>
  <si>
    <t>CHANNELS</t>
  </si>
  <si>
    <t>KARA</t>
  </si>
  <si>
    <t>CHURELLA</t>
  </si>
  <si>
    <t>CLAUSELL</t>
  </si>
  <si>
    <t>DARRYL</t>
  </si>
  <si>
    <t>COLE</t>
  </si>
  <si>
    <t>DONALD</t>
  </si>
  <si>
    <t>CONLON</t>
  </si>
  <si>
    <t>MARK</t>
  </si>
  <si>
    <t>CORBIN</t>
  </si>
  <si>
    <t>CREARY</t>
  </si>
  <si>
    <t>ANDRON</t>
  </si>
  <si>
    <t>CRESAP</t>
  </si>
  <si>
    <t>CUNNINGHAM</t>
  </si>
  <si>
    <t>SARA</t>
  </si>
  <si>
    <t>CUPRIK</t>
  </si>
  <si>
    <t>DEBRA</t>
  </si>
  <si>
    <t>CURTO</t>
  </si>
  <si>
    <t>HILARY</t>
  </si>
  <si>
    <t>DAHLEM</t>
  </si>
  <si>
    <t>ANITA</t>
  </si>
  <si>
    <t>DAVIS</t>
  </si>
  <si>
    <t>FRANK</t>
  </si>
  <si>
    <t>SHANNON</t>
  </si>
  <si>
    <t>DECARIA</t>
  </si>
  <si>
    <t>DECOLA</t>
  </si>
  <si>
    <t>MARGARET</t>
  </si>
  <si>
    <t>DELUCA</t>
  </si>
  <si>
    <t>SHELLEY</t>
  </si>
  <si>
    <t>DERRICO</t>
  </si>
  <si>
    <t>JENNA</t>
  </si>
  <si>
    <t>DESMOND</t>
  </si>
  <si>
    <t>PAUL</t>
  </si>
  <si>
    <t>P</t>
  </si>
  <si>
    <t>DEVINE</t>
  </si>
  <si>
    <t>KIRSTEN</t>
  </si>
  <si>
    <t>DEWHURST</t>
  </si>
  <si>
    <t>WILLIAM</t>
  </si>
  <si>
    <t>DHAWAN</t>
  </si>
  <si>
    <t>REETIKA</t>
  </si>
  <si>
    <t>DLESK</t>
  </si>
  <si>
    <t>DOOLIN</t>
  </si>
  <si>
    <t>JEREMY</t>
  </si>
  <si>
    <t>WENDY</t>
  </si>
  <si>
    <t>DOVE</t>
  </si>
  <si>
    <t>KRSANGI</t>
  </si>
  <si>
    <t>DURRAH</t>
  </si>
  <si>
    <t>TAMMY</t>
  </si>
  <si>
    <t>DUTTON</t>
  </si>
  <si>
    <t>MOLLY</t>
  </si>
  <si>
    <t>DUYMICH</t>
  </si>
  <si>
    <t>EDDY</t>
  </si>
  <si>
    <t>DANIEL</t>
  </si>
  <si>
    <t>EDGELL</t>
  </si>
  <si>
    <t>DYLAN</t>
  </si>
  <si>
    <t>EDWARDS</t>
  </si>
  <si>
    <t>TINA</t>
  </si>
  <si>
    <t>ELLIS</t>
  </si>
  <si>
    <t>JOHN</t>
  </si>
  <si>
    <t>ELY BOYD</t>
  </si>
  <si>
    <t>JACKIE</t>
  </si>
  <si>
    <t>EVANS</t>
  </si>
  <si>
    <t>EUGENE</t>
  </si>
  <si>
    <t>ROBIN</t>
  </si>
  <si>
    <t>FALDOWSKI</t>
  </si>
  <si>
    <t>RONALD</t>
  </si>
  <si>
    <t>FARNSWORTH</t>
  </si>
  <si>
    <t>CHRISTY</t>
  </si>
  <si>
    <t>FERRELL</t>
  </si>
  <si>
    <t>DARCEY</t>
  </si>
  <si>
    <t>FERRISE</t>
  </si>
  <si>
    <t>RACHAEL</t>
  </si>
  <si>
    <t>FIKE</t>
  </si>
  <si>
    <t>JANET</t>
  </si>
  <si>
    <t>FORSTER</t>
  </si>
  <si>
    <t>TYE</t>
  </si>
  <si>
    <t>FRANCIS</t>
  </si>
  <si>
    <t>CODY</t>
  </si>
  <si>
    <t>FRANKS</t>
  </si>
  <si>
    <t>CHARLES</t>
  </si>
  <si>
    <t>W</t>
  </si>
  <si>
    <t>FRAZIER</t>
  </si>
  <si>
    <t>GEORGE</t>
  </si>
  <si>
    <t>FREY</t>
  </si>
  <si>
    <t>ALICIA</t>
  </si>
  <si>
    <t>FULTON</t>
  </si>
  <si>
    <t>BENJAMIN</t>
  </si>
  <si>
    <t>GALLOWAY</t>
  </si>
  <si>
    <t>GAYLOR</t>
  </si>
  <si>
    <t>ANNA</t>
  </si>
  <si>
    <t>GIBB</t>
  </si>
  <si>
    <t>ROBERT</t>
  </si>
  <si>
    <t>GILHAM</t>
  </si>
  <si>
    <t>JARRED</t>
  </si>
  <si>
    <t>GOLDSTEIN</t>
  </si>
  <si>
    <t>I</t>
  </si>
  <si>
    <t>GOMEZ</t>
  </si>
  <si>
    <t>GRACEY</t>
  </si>
  <si>
    <t>GREATHOUSE</t>
  </si>
  <si>
    <t>ELISSA</t>
  </si>
  <si>
    <t>GRIFFITH</t>
  </si>
  <si>
    <t>GRYSKO</t>
  </si>
  <si>
    <t>GARY</t>
  </si>
  <si>
    <t>HAFER</t>
  </si>
  <si>
    <t>MEGAN</t>
  </si>
  <si>
    <t>HANASKY</t>
  </si>
  <si>
    <t>HARBERT</t>
  </si>
  <si>
    <t>CRYSTAL</t>
  </si>
  <si>
    <t>HARRIS</t>
  </si>
  <si>
    <t>HARVATH</t>
  </si>
  <si>
    <t>JOAN</t>
  </si>
  <si>
    <t>HARVEY</t>
  </si>
  <si>
    <t>SHERI</t>
  </si>
  <si>
    <t>HAYDEN</t>
  </si>
  <si>
    <t>KIMYETTA</t>
  </si>
  <si>
    <t>HAYS</t>
  </si>
  <si>
    <t>HENDRICKSON</t>
  </si>
  <si>
    <t>JUDI</t>
  </si>
  <si>
    <t>HERRINGTON</t>
  </si>
  <si>
    <t>KATHLEEN</t>
  </si>
  <si>
    <t>HESS</t>
  </si>
  <si>
    <t>TAMARA</t>
  </si>
  <si>
    <t>HIPPENSTEEL</t>
  </si>
  <si>
    <t>CURTIS</t>
  </si>
  <si>
    <t>TERRI</t>
  </si>
  <si>
    <t>HOLK</t>
  </si>
  <si>
    <t>HOLT</t>
  </si>
  <si>
    <t>PAIGE</t>
  </si>
  <si>
    <t>HOSKINS</t>
  </si>
  <si>
    <t>THERESA</t>
  </si>
  <si>
    <t>HOWELL</t>
  </si>
  <si>
    <t>DOUGLAS</t>
  </si>
  <si>
    <t>HUFF</t>
  </si>
  <si>
    <t>CLARISSA</t>
  </si>
  <si>
    <t>Y</t>
  </si>
  <si>
    <t>INDERMUHLE</t>
  </si>
  <si>
    <t>JACKSON</t>
  </si>
  <si>
    <t>VICTOR</t>
  </si>
  <si>
    <t>JENKINS</t>
  </si>
  <si>
    <t>TRACY</t>
  </si>
  <si>
    <t>JOHNS</t>
  </si>
  <si>
    <t>MELLISA</t>
  </si>
  <si>
    <t>JOHNSTON</t>
  </si>
  <si>
    <t>JUDITH</t>
  </si>
  <si>
    <t>JONES</t>
  </si>
  <si>
    <t>SCOTT</t>
  </si>
  <si>
    <t>JORDAN</t>
  </si>
  <si>
    <t>NICHOLAS</t>
  </si>
  <si>
    <t>KAHL</t>
  </si>
  <si>
    <t>MISTY</t>
  </si>
  <si>
    <t>KALB</t>
  </si>
  <si>
    <t>HEATHER</t>
  </si>
  <si>
    <t>KANE</t>
  </si>
  <si>
    <t>LAURA</t>
  </si>
  <si>
    <t>KAPPEL</t>
  </si>
  <si>
    <t>KASTENBAUER</t>
  </si>
  <si>
    <t>KEFAUVER</t>
  </si>
  <si>
    <t>CHRISTIAN</t>
  </si>
  <si>
    <t>LUCY</t>
  </si>
  <si>
    <t>G</t>
  </si>
  <si>
    <t>KEPREOS</t>
  </si>
  <si>
    <t>GUST</t>
  </si>
  <si>
    <t>KERNS</t>
  </si>
  <si>
    <t>PATRICK</t>
  </si>
  <si>
    <t>KEYSER</t>
  </si>
  <si>
    <t>JILL</t>
  </si>
  <si>
    <t>KILLEEN</t>
  </si>
  <si>
    <t>BRANDY</t>
  </si>
  <si>
    <t>KIMBERLY</t>
  </si>
  <si>
    <t>JESSICA</t>
  </si>
  <si>
    <t>KIMES</t>
  </si>
  <si>
    <t>JEFFREY</t>
  </si>
  <si>
    <t>KING</t>
  </si>
  <si>
    <t>TEANN</t>
  </si>
  <si>
    <t>KINGRY</t>
  </si>
  <si>
    <t>KINYO</t>
  </si>
  <si>
    <t>ANTHONY</t>
  </si>
  <si>
    <t>KLEPACK</t>
  </si>
  <si>
    <t>KLINE</t>
  </si>
  <si>
    <t>ADI</t>
  </si>
  <si>
    <t>KLOSS</t>
  </si>
  <si>
    <t>JULIE</t>
  </si>
  <si>
    <t>KNIGHT</t>
  </si>
  <si>
    <t>ELISHA</t>
  </si>
  <si>
    <t>PAULA</t>
  </si>
  <si>
    <t>KNOX</t>
  </si>
  <si>
    <t>KENNETH</t>
  </si>
  <si>
    <t>KOOKEN</t>
  </si>
  <si>
    <t>MICHAEL</t>
  </si>
  <si>
    <t>KOON</t>
  </si>
  <si>
    <t>KOSKI</t>
  </si>
  <si>
    <t>ELISE</t>
  </si>
  <si>
    <t>KOWALCZYK</t>
  </si>
  <si>
    <t>NATASHA</t>
  </si>
  <si>
    <t>KOWALSKI</t>
  </si>
  <si>
    <t>KURT</t>
  </si>
  <si>
    <t>KOZDRAS</t>
  </si>
  <si>
    <t>PETER</t>
  </si>
  <si>
    <t>KRIECHBAUM</t>
  </si>
  <si>
    <t>JENNIFER</t>
  </si>
  <si>
    <t>KUCA</t>
  </si>
  <si>
    <t>ARLENE</t>
  </si>
  <si>
    <t>LANNIS</t>
  </si>
  <si>
    <t>AIMEE</t>
  </si>
  <si>
    <t>LANTZ</t>
  </si>
  <si>
    <t>LAWSON</t>
  </si>
  <si>
    <t>LEGHLID</t>
  </si>
  <si>
    <t>SAID</t>
  </si>
  <si>
    <t>LEMLEY</t>
  </si>
  <si>
    <t>LEMON</t>
  </si>
  <si>
    <t>LOVELESS</t>
  </si>
  <si>
    <t>LUCAS</t>
  </si>
  <si>
    <t>ANDREW</t>
  </si>
  <si>
    <t>LYONS</t>
  </si>
  <si>
    <t>CASEY</t>
  </si>
  <si>
    <t>RITA</t>
  </si>
  <si>
    <t>MANNION</t>
  </si>
  <si>
    <t>TYLER</t>
  </si>
  <si>
    <t>MANUEL</t>
  </si>
  <si>
    <t>NICOLE</t>
  </si>
  <si>
    <t>MARKER</t>
  </si>
  <si>
    <t>PATRICIA</t>
  </si>
  <si>
    <t>MARLIN</t>
  </si>
  <si>
    <t>MARY</t>
  </si>
  <si>
    <t>MASON</t>
  </si>
  <si>
    <t>CRAIG</t>
  </si>
  <si>
    <t>MATYSKIELA</t>
  </si>
  <si>
    <t>KRISTINA</t>
  </si>
  <si>
    <t>MAYHUGH</t>
  </si>
  <si>
    <t>ARDELL</t>
  </si>
  <si>
    <t>MCCLURE</t>
  </si>
  <si>
    <t>MCCOID</t>
  </si>
  <si>
    <t>MCCONNELL</t>
  </si>
  <si>
    <t>MCCULLEY</t>
  </si>
  <si>
    <t>MCGLUMPHY</t>
  </si>
  <si>
    <t>LORI</t>
  </si>
  <si>
    <t>MCINTOSH</t>
  </si>
  <si>
    <t>MARYJEAN</t>
  </si>
  <si>
    <t>MCKENZIE</t>
  </si>
  <si>
    <t>GREGG</t>
  </si>
  <si>
    <t>MCKIM</t>
  </si>
  <si>
    <t>SHEILA</t>
  </si>
  <si>
    <t>MCNEAR</t>
  </si>
  <si>
    <t>MEHLMAN-BRIGHTWELL</t>
  </si>
  <si>
    <t>DANIELLE</t>
  </si>
  <si>
    <t>MIDCAP</t>
  </si>
  <si>
    <t>JACK</t>
  </si>
  <si>
    <t>MIHELLIS</t>
  </si>
  <si>
    <t>AMY</t>
  </si>
  <si>
    <t>MITCHELL</t>
  </si>
  <si>
    <t>ISABELLA</t>
  </si>
  <si>
    <t>MONTGOMERY</t>
  </si>
  <si>
    <t>MORGAN</t>
  </si>
  <si>
    <t>MATTHEW</t>
  </si>
  <si>
    <t>HOLLY</t>
  </si>
  <si>
    <t>MULHERN</t>
  </si>
  <si>
    <t>KARRI</t>
  </si>
  <si>
    <t>MULYUKOV</t>
  </si>
  <si>
    <t>RUSTEM</t>
  </si>
  <si>
    <t>NOCERA</t>
  </si>
  <si>
    <t>NOSKO</t>
  </si>
  <si>
    <t>NANCY</t>
  </si>
  <si>
    <t>OSSMAN</t>
  </si>
  <si>
    <t>TILLIE</t>
  </si>
  <si>
    <t>OWEN</t>
  </si>
  <si>
    <t>PAREE</t>
  </si>
  <si>
    <t>PARR</t>
  </si>
  <si>
    <t>MAKAYLA</t>
  </si>
  <si>
    <t>PATTERSON</t>
  </si>
  <si>
    <t>PEGG</t>
  </si>
  <si>
    <t>CAROL</t>
  </si>
  <si>
    <t>PETERMAN</t>
  </si>
  <si>
    <t>BONNIE</t>
  </si>
  <si>
    <t>PIATT STAFFORD</t>
  </si>
  <si>
    <t>PISSOS</t>
  </si>
  <si>
    <t>TRINA</t>
  </si>
  <si>
    <t>PITCHER</t>
  </si>
  <si>
    <t>POGACSNIK</t>
  </si>
  <si>
    <t>AMBER</t>
  </si>
  <si>
    <t>POKAS</t>
  </si>
  <si>
    <t>JAMES</t>
  </si>
  <si>
    <t>QUEEN</t>
  </si>
  <si>
    <t>THOMAS</t>
  </si>
  <si>
    <t>RAMSDEN</t>
  </si>
  <si>
    <t>ASHLEY</t>
  </si>
  <si>
    <t>REAGER</t>
  </si>
  <si>
    <t>SHELLY</t>
  </si>
  <si>
    <t>REHO</t>
  </si>
  <si>
    <t>RILEY</t>
  </si>
  <si>
    <t>LELAND</t>
  </si>
  <si>
    <t>ROBINSON</t>
  </si>
  <si>
    <t>INA</t>
  </si>
  <si>
    <t>ROGERSON</t>
  </si>
  <si>
    <t>ROPER</t>
  </si>
  <si>
    <t>RYAN</t>
  </si>
  <si>
    <t>DELILAH</t>
  </si>
  <si>
    <t>HEIDI</t>
  </si>
  <si>
    <t>SAFREED</t>
  </si>
  <si>
    <t>SAGE</t>
  </si>
  <si>
    <t>AMANDA</t>
  </si>
  <si>
    <t>MARIE</t>
  </si>
  <si>
    <t>SAYRE</t>
  </si>
  <si>
    <t>SCHRACK</t>
  </si>
  <si>
    <t>MIRANDA</t>
  </si>
  <si>
    <t>SCHRUMP</t>
  </si>
  <si>
    <t>APRIL</t>
  </si>
  <si>
    <t>SCOTT-GUZEK</t>
  </si>
  <si>
    <t>LYNDSIE</t>
  </si>
  <si>
    <t>SCURRY</t>
  </si>
  <si>
    <t>SERGAKIS</t>
  </si>
  <si>
    <t>CONNIE</t>
  </si>
  <si>
    <t>SHARMA</t>
  </si>
  <si>
    <t>PURNIMA</t>
  </si>
  <si>
    <t>V</t>
  </si>
  <si>
    <t>NEETIKA</t>
  </si>
  <si>
    <t>SHAW</t>
  </si>
  <si>
    <t>NEELEY</t>
  </si>
  <si>
    <t>SHELBY</t>
  </si>
  <si>
    <t>REBECCA</t>
  </si>
  <si>
    <t>SHEPHERD</t>
  </si>
  <si>
    <t>ERICA</t>
  </si>
  <si>
    <t>SMITH</t>
  </si>
  <si>
    <t>SUSAN</t>
  </si>
  <si>
    <t>SOLY</t>
  </si>
  <si>
    <t>SPARACHANE</t>
  </si>
  <si>
    <t>SPURLOCK</t>
  </si>
  <si>
    <t>RANA</t>
  </si>
  <si>
    <t>WAYNE</t>
  </si>
  <si>
    <t>STARKEY</t>
  </si>
  <si>
    <t>STEPHENS</t>
  </si>
  <si>
    <t>MELISSA</t>
  </si>
  <si>
    <t>STODOLA</t>
  </si>
  <si>
    <t>JONATHAN</t>
  </si>
  <si>
    <t>STOFFEL</t>
  </si>
  <si>
    <t>STOKES</t>
  </si>
  <si>
    <t>KEVIN</t>
  </si>
  <si>
    <t>STONE</t>
  </si>
  <si>
    <t>CARLA</t>
  </si>
  <si>
    <t>STROSNIDER</t>
  </si>
  <si>
    <t>ANDREA</t>
  </si>
  <si>
    <t>STROUD</t>
  </si>
  <si>
    <t>SUMMERS</t>
  </si>
  <si>
    <t>JAYSON</t>
  </si>
  <si>
    <t>TACKETT</t>
  </si>
  <si>
    <t>TANNER</t>
  </si>
  <si>
    <t>CLORISA</t>
  </si>
  <si>
    <t>TAYLOR</t>
  </si>
  <si>
    <t>MARESA</t>
  </si>
  <si>
    <t>THORN</t>
  </si>
  <si>
    <t>TOMASZEWSKI</t>
  </si>
  <si>
    <t>TRIGG</t>
  </si>
  <si>
    <t>TONYA</t>
  </si>
  <si>
    <t>VENSEL</t>
  </si>
  <si>
    <t>H</t>
  </si>
  <si>
    <t>VIZZUSO</t>
  </si>
  <si>
    <t>WALLACE</t>
  </si>
  <si>
    <t>GERALD</t>
  </si>
  <si>
    <t>WARD</t>
  </si>
  <si>
    <t>WARNER</t>
  </si>
  <si>
    <t>NATALIE</t>
  </si>
  <si>
    <t>WARREN</t>
  </si>
  <si>
    <t>LINDSAY</t>
  </si>
  <si>
    <t>WATSON</t>
  </si>
  <si>
    <t>MICHELE</t>
  </si>
  <si>
    <t>WEISNER</t>
  </si>
  <si>
    <t>WILEY</t>
  </si>
  <si>
    <t>WILLIAMS</t>
  </si>
  <si>
    <t>IDA-JANNETTE</t>
  </si>
  <si>
    <t>WINLAND</t>
  </si>
  <si>
    <t>GREG</t>
  </si>
  <si>
    <t>WISE</t>
  </si>
  <si>
    <t>KYLIE</t>
  </si>
  <si>
    <t>WOOD</t>
  </si>
  <si>
    <t>WOODS</t>
  </si>
  <si>
    <t>JASON</t>
  </si>
  <si>
    <t>XIDIS</t>
  </si>
  <si>
    <t>YEATER</t>
  </si>
  <si>
    <t>LORA</t>
  </si>
  <si>
    <t>YESENCZKI</t>
  </si>
  <si>
    <t>YOST</t>
  </si>
  <si>
    <t>CLINTON</t>
  </si>
  <si>
    <t>F</t>
  </si>
  <si>
    <t>State</t>
  </si>
  <si>
    <t>Zip</t>
  </si>
  <si>
    <t xml:space="preserve"> </t>
  </si>
  <si>
    <t>Start of Trip</t>
  </si>
  <si>
    <t>End of Trip</t>
  </si>
  <si>
    <t>Settlement Group</t>
  </si>
  <si>
    <t>Hidden Organization &gt;&gt;&gt;</t>
  </si>
  <si>
    <t>Look Up Information</t>
  </si>
  <si>
    <t>Travel Settlement Expenses (WVNCC Use Only)</t>
  </si>
  <si>
    <t>Hotel Adjusted</t>
  </si>
  <si>
    <t>Meal Adjusted</t>
  </si>
  <si>
    <t>Parking Adjusted</t>
  </si>
  <si>
    <r>
      <rPr>
        <b/>
        <sz val="11"/>
        <color theme="1"/>
        <rFont val="Times New Roman"/>
        <family val="1"/>
      </rPr>
      <t>Recurring Requests</t>
    </r>
    <r>
      <rPr>
        <sz val="11"/>
        <color theme="1"/>
        <rFont val="Times New Roman"/>
        <family val="1"/>
      </rPr>
      <t xml:space="preserve"> can be done for a calendar month (i.e. Regular trips to another campus).  E-mail Travel Coordinator the list of dates and instructions will be provided for your specific situtation.  </t>
    </r>
  </si>
  <si>
    <r>
      <rPr>
        <b/>
        <sz val="11"/>
        <color theme="1"/>
        <rFont val="Times New Roman"/>
        <family val="1"/>
      </rPr>
      <t>Business Office</t>
    </r>
    <r>
      <rPr>
        <sz val="11"/>
        <color theme="1"/>
        <rFont val="Times New Roman"/>
        <family val="1"/>
      </rPr>
      <t xml:space="preserve"> can make hotel and flight reservations, and/or pay registration fees IF there is not a p-card holder in your department:  Mark beside each expense if the Business Office should make these arrangements.  Include preferred arrangements details in the body of the e-mail.</t>
    </r>
  </si>
  <si>
    <r>
      <rPr>
        <b/>
        <sz val="11"/>
        <color theme="1"/>
        <rFont val="Times New Roman"/>
        <family val="1"/>
      </rPr>
      <t xml:space="preserve">Signature </t>
    </r>
    <r>
      <rPr>
        <sz val="11"/>
        <color theme="1"/>
        <rFont val="Times New Roman"/>
        <family val="1"/>
      </rPr>
      <t>not required, simply forward via e-mail.</t>
    </r>
  </si>
  <si>
    <r>
      <rPr>
        <b/>
        <sz val="11"/>
        <color theme="1"/>
        <rFont val="Times New Roman"/>
        <family val="1"/>
      </rPr>
      <t xml:space="preserve">Review  </t>
    </r>
    <r>
      <rPr>
        <sz val="11"/>
        <color theme="1"/>
        <rFont val="Times New Roman"/>
        <family val="1"/>
      </rPr>
      <t>for completeness and accuracy</t>
    </r>
  </si>
  <si>
    <r>
      <rPr>
        <b/>
        <sz val="11"/>
        <color theme="1"/>
        <rFont val="Times New Roman"/>
        <family val="1"/>
      </rPr>
      <t xml:space="preserve">Signature </t>
    </r>
    <r>
      <rPr>
        <sz val="11"/>
        <color theme="1"/>
        <rFont val="Times New Roman"/>
        <family val="1"/>
      </rPr>
      <t>not required, simply forwarded via e-mail.</t>
    </r>
  </si>
  <si>
    <r>
      <rPr>
        <b/>
        <sz val="11"/>
        <color theme="1"/>
        <rFont val="Times New Roman"/>
        <family val="1"/>
      </rPr>
      <t>E-mail the workbook</t>
    </r>
    <r>
      <rPr>
        <sz val="11"/>
        <color theme="1"/>
        <rFont val="Times New Roman"/>
        <family val="1"/>
      </rPr>
      <t xml:space="preserve"> with approved request (see below)</t>
    </r>
  </si>
  <si>
    <t>If Professional Development, e-mail to Committee at PD@wvncc.edu, forward to Travel@wvncc.edu</t>
  </si>
  <si>
    <r>
      <rPr>
        <b/>
        <sz val="11"/>
        <color theme="1"/>
        <rFont val="Times New Roman"/>
        <family val="1"/>
      </rPr>
      <t xml:space="preserve">Save </t>
    </r>
    <r>
      <rPr>
        <sz val="11"/>
        <color theme="1"/>
        <rFont val="Times New Roman"/>
        <family val="1"/>
      </rPr>
      <t>completed file</t>
    </r>
  </si>
  <si>
    <r>
      <rPr>
        <b/>
        <sz val="11"/>
        <color theme="1"/>
        <rFont val="Times New Roman"/>
        <family val="1"/>
      </rPr>
      <t>Updated 'Request'</t>
    </r>
    <r>
      <rPr>
        <sz val="11"/>
        <color theme="1"/>
        <rFont val="Times New Roman"/>
        <family val="1"/>
      </rPr>
      <t xml:space="preserve"> reflecting the appropriate accommodations, including car transportation</t>
    </r>
  </si>
  <si>
    <r>
      <rPr>
        <b/>
        <sz val="11"/>
        <color theme="1"/>
        <rFont val="Times New Roman"/>
        <family val="1"/>
      </rPr>
      <t>Make accommodations</t>
    </r>
    <r>
      <rPr>
        <sz val="11"/>
        <color theme="1"/>
        <rFont val="Times New Roman"/>
        <family val="1"/>
      </rPr>
      <t xml:space="preserve"> requested </t>
    </r>
  </si>
  <si>
    <r>
      <rPr>
        <b/>
        <sz val="11"/>
        <color theme="1"/>
        <rFont val="Times New Roman"/>
        <family val="1"/>
      </rPr>
      <t>Return e-mail</t>
    </r>
    <r>
      <rPr>
        <sz val="11"/>
        <color theme="1"/>
        <rFont val="Times New Roman"/>
        <family val="1"/>
      </rPr>
      <t xml:space="preserve"> to Traveler and cc Supervisor:</t>
    </r>
  </si>
  <si>
    <t>IF ALL ELSE FAILS, CONTACT THE CFO OR TRAVEL CORDINATOR FOR GUIDANCE/ASSISTANCE</t>
  </si>
  <si>
    <t>Default</t>
  </si>
  <si>
    <t>Specific</t>
  </si>
  <si>
    <t>Mileage Reimbursement Rate for FY 2019, July 1, 2019 to June 30, 2019</t>
  </si>
  <si>
    <r>
      <rPr>
        <b/>
        <sz val="11"/>
        <color rgb="FFFF0000"/>
        <rFont val="Times New Roman"/>
        <family val="1"/>
      </rPr>
      <t>Supervisor</t>
    </r>
    <r>
      <rPr>
        <sz val="11"/>
        <color theme="1"/>
        <rFont val="Times New Roman"/>
        <family val="1"/>
      </rPr>
      <t xml:space="preserve"> approve 'Request':</t>
    </r>
  </si>
  <si>
    <r>
      <rPr>
        <b/>
        <sz val="11"/>
        <color rgb="FFFF0000"/>
        <rFont val="Times New Roman"/>
        <family val="1"/>
      </rPr>
      <t>Traveler</t>
    </r>
    <r>
      <rPr>
        <sz val="11"/>
        <color theme="1"/>
        <rFont val="Times New Roman"/>
        <family val="1"/>
      </rPr>
      <t xml:space="preserve"> completes 'Expenses' &amp; 'Settlement'</t>
    </r>
  </si>
  <si>
    <r>
      <rPr>
        <b/>
        <i/>
        <sz val="10"/>
        <rFont val="Arial"/>
        <family val="2"/>
      </rPr>
      <t>wv</t>
    </r>
    <r>
      <rPr>
        <b/>
        <sz val="10"/>
        <rFont val="Arial"/>
        <family val="2"/>
      </rPr>
      <t>OASIS VENDOR ID:</t>
    </r>
  </si>
  <si>
    <t>GSA PER DIEM</t>
  </si>
  <si>
    <t>TAXABLE* AMOUNT</t>
  </si>
  <si>
    <t>*OTDED Trans ID:</t>
  </si>
  <si>
    <t xml:space="preserve">  </t>
  </si>
  <si>
    <t>TAXABLE DIFFERENCE</t>
  </si>
  <si>
    <t>0489  WVNCC</t>
  </si>
  <si>
    <t>Incidental</t>
  </si>
  <si>
    <t>Per Diem</t>
  </si>
  <si>
    <t>New</t>
  </si>
  <si>
    <t>Per Diem Defaults</t>
  </si>
  <si>
    <t>5R82</t>
  </si>
  <si>
    <t>ACTIVE</t>
  </si>
  <si>
    <t>738771</t>
  </si>
  <si>
    <t>KATRINA</t>
  </si>
  <si>
    <t>HYDE</t>
  </si>
  <si>
    <t>3300</t>
  </si>
  <si>
    <t>708995</t>
  </si>
  <si>
    <t>DAVE</t>
  </si>
  <si>
    <t>9003</t>
  </si>
  <si>
    <t>774451</t>
  </si>
  <si>
    <t>TESSA</t>
  </si>
  <si>
    <t>WEISENBORN</t>
  </si>
  <si>
    <t>284136</t>
  </si>
  <si>
    <t>CORY</t>
  </si>
  <si>
    <t>CAMPANIZZI</t>
  </si>
  <si>
    <t>724586</t>
  </si>
  <si>
    <t>NOLAN</t>
  </si>
  <si>
    <t>RAWLINGS</t>
  </si>
  <si>
    <t>120800</t>
  </si>
  <si>
    <t>ANGELA</t>
  </si>
  <si>
    <t>HAWK</t>
  </si>
  <si>
    <t>3400</t>
  </si>
  <si>
    <t>794817</t>
  </si>
  <si>
    <t>8057</t>
  </si>
  <si>
    <t>213218</t>
  </si>
  <si>
    <t>ROGER</t>
  </si>
  <si>
    <t>KLINGER</t>
  </si>
  <si>
    <t>3900</t>
  </si>
  <si>
    <t>656980</t>
  </si>
  <si>
    <t>2001</t>
  </si>
  <si>
    <t>127243</t>
  </si>
  <si>
    <t xml:space="preserve">DENNIS </t>
  </si>
  <si>
    <t>324298</t>
  </si>
  <si>
    <t>NATALIA</t>
  </si>
  <si>
    <t>OMELCHENKO-COMER</t>
  </si>
  <si>
    <t>3060</t>
  </si>
  <si>
    <t>3200</t>
  </si>
  <si>
    <t>509016</t>
  </si>
  <si>
    <t>3070</t>
  </si>
  <si>
    <t>348155</t>
  </si>
  <si>
    <t>JOEL</t>
  </si>
  <si>
    <t>CONNOR</t>
  </si>
  <si>
    <t>1000</t>
  </si>
  <si>
    <t>688640</t>
  </si>
  <si>
    <t>DAN</t>
  </si>
  <si>
    <t xml:space="preserve">MOSSER </t>
  </si>
  <si>
    <t>651183</t>
  </si>
  <si>
    <t>941012</t>
  </si>
  <si>
    <t>578787</t>
  </si>
  <si>
    <t>367441</t>
  </si>
  <si>
    <t>042348</t>
  </si>
  <si>
    <t>101237</t>
  </si>
  <si>
    <t>348575</t>
  </si>
  <si>
    <t>673141</t>
  </si>
  <si>
    <t>459660</t>
  </si>
  <si>
    <t>566523</t>
  </si>
  <si>
    <t>494939</t>
  </si>
  <si>
    <t>3051</t>
  </si>
  <si>
    <t>600825</t>
  </si>
  <si>
    <t>3040</t>
  </si>
  <si>
    <t>530761</t>
  </si>
  <si>
    <t>IDA</t>
  </si>
  <si>
    <t>353760</t>
  </si>
  <si>
    <t>204561</t>
  </si>
  <si>
    <t>054865</t>
  </si>
  <si>
    <t xml:space="preserve">ADRIANA </t>
  </si>
  <si>
    <t>WOLF</t>
  </si>
  <si>
    <t>781394</t>
  </si>
  <si>
    <t>6003</t>
  </si>
  <si>
    <t>663442</t>
  </si>
  <si>
    <t>252069</t>
  </si>
  <si>
    <t>473018</t>
  </si>
  <si>
    <t>188973</t>
  </si>
  <si>
    <t>260958</t>
  </si>
  <si>
    <t>115127</t>
  </si>
  <si>
    <t>5000</t>
  </si>
  <si>
    <t>278701</t>
  </si>
  <si>
    <t>4000</t>
  </si>
  <si>
    <t>942786</t>
  </si>
  <si>
    <t>756284</t>
  </si>
  <si>
    <t>3030</t>
  </si>
  <si>
    <t>675206</t>
  </si>
  <si>
    <t>929834</t>
  </si>
  <si>
    <t>886369</t>
  </si>
  <si>
    <t>943877</t>
  </si>
  <si>
    <t>517332</t>
  </si>
  <si>
    <t>3020</t>
  </si>
  <si>
    <t>178631</t>
  </si>
  <si>
    <t>164186</t>
  </si>
  <si>
    <t>3800</t>
  </si>
  <si>
    <t>492091</t>
  </si>
  <si>
    <t>3700</t>
  </si>
  <si>
    <t>526824</t>
  </si>
  <si>
    <t>692629</t>
  </si>
  <si>
    <t>396487</t>
  </si>
  <si>
    <t>226213</t>
  </si>
  <si>
    <t>404680</t>
  </si>
  <si>
    <t>ADRIANA</t>
  </si>
  <si>
    <t>AARON</t>
  </si>
  <si>
    <t>3600</t>
  </si>
  <si>
    <t>2107</t>
  </si>
  <si>
    <t>555883</t>
  </si>
  <si>
    <t>316897</t>
  </si>
  <si>
    <t>364394</t>
  </si>
  <si>
    <t>614448</t>
  </si>
  <si>
    <t xml:space="preserve">THOMAS </t>
  </si>
  <si>
    <t>833404</t>
  </si>
  <si>
    <t>343878</t>
  </si>
  <si>
    <t>507105</t>
  </si>
  <si>
    <t>494697</t>
  </si>
  <si>
    <t>061600</t>
  </si>
  <si>
    <t>3500</t>
  </si>
  <si>
    <t>LINDA</t>
  </si>
  <si>
    <t>2103</t>
  </si>
  <si>
    <t>300429</t>
  </si>
  <si>
    <t xml:space="preserve">JACK </t>
  </si>
  <si>
    <t>219705</t>
  </si>
  <si>
    <t>951422</t>
  </si>
  <si>
    <t>833601</t>
  </si>
  <si>
    <t>2102</t>
  </si>
  <si>
    <t>092423</t>
  </si>
  <si>
    <t>931155</t>
  </si>
  <si>
    <t>882220</t>
  </si>
  <si>
    <t>3416</t>
  </si>
  <si>
    <t>937967</t>
  </si>
  <si>
    <t>653668</t>
  </si>
  <si>
    <t>018005</t>
  </si>
  <si>
    <t>710854</t>
  </si>
  <si>
    <t>1100</t>
  </si>
  <si>
    <t>785170</t>
  </si>
  <si>
    <t>498501</t>
  </si>
  <si>
    <t>198856</t>
  </si>
  <si>
    <t>1040</t>
  </si>
  <si>
    <t>713898</t>
  </si>
  <si>
    <t>1002</t>
  </si>
  <si>
    <t>705694</t>
  </si>
  <si>
    <t xml:space="preserve">RANA </t>
  </si>
  <si>
    <t>293994</t>
  </si>
  <si>
    <t>KAPPELL</t>
  </si>
  <si>
    <t>993905</t>
  </si>
  <si>
    <t>529698</t>
  </si>
  <si>
    <t>369474</t>
  </si>
  <si>
    <t>897181</t>
  </si>
  <si>
    <t>184120</t>
  </si>
  <si>
    <t>858644</t>
  </si>
  <si>
    <t>169851</t>
  </si>
  <si>
    <t>PIN Special Field</t>
  </si>
  <si>
    <t>Client</t>
  </si>
  <si>
    <t>Status</t>
  </si>
  <si>
    <t>PIN</t>
  </si>
  <si>
    <t>First Name</t>
  </si>
  <si>
    <t>Last Name</t>
  </si>
  <si>
    <t>PIN Maintenance - 0496003240835</t>
  </si>
  <si>
    <t>1st /Last Day Meal</t>
  </si>
  <si>
    <t>Mileage Rate</t>
  </si>
  <si>
    <t>Gas (Personal)</t>
  </si>
  <si>
    <t>College Car</t>
  </si>
  <si>
    <t>MPG</t>
  </si>
  <si>
    <t>Rental</t>
  </si>
  <si>
    <t>Gas</t>
  </si>
  <si>
    <t>Current Variables</t>
  </si>
  <si>
    <t>Mileage</t>
  </si>
  <si>
    <t>Gas Reimbursement</t>
  </si>
  <si>
    <t>Ground Transportation Comparison</t>
  </si>
  <si>
    <r>
      <t>Estimated Costs</t>
    </r>
    <r>
      <rPr>
        <b/>
        <vertAlign val="superscript"/>
        <sz val="12"/>
        <color theme="1"/>
        <rFont val="Times New Roman"/>
        <family val="1"/>
      </rPr>
      <t>1</t>
    </r>
    <r>
      <rPr>
        <b/>
        <sz val="12"/>
        <color theme="1"/>
        <rFont val="Times New Roman"/>
        <family val="1"/>
      </rPr>
      <t xml:space="preserve"> (Mark 'X' To All That Apply)</t>
    </r>
  </si>
  <si>
    <r>
      <rPr>
        <vertAlign val="superscript"/>
        <sz val="10"/>
        <color theme="1"/>
        <rFont val="Times New Roman"/>
        <family val="1"/>
      </rPr>
      <t>2</t>
    </r>
    <r>
      <rPr>
        <sz val="10"/>
        <color theme="1"/>
        <rFont val="Times New Roman"/>
        <family val="1"/>
      </rPr>
      <t>Business Office will determine the most economical car transportation, including state car.</t>
    </r>
  </si>
  <si>
    <r>
      <rPr>
        <vertAlign val="superscript"/>
        <sz val="10"/>
        <color theme="1"/>
        <rFont val="Times New Roman"/>
        <family val="1"/>
      </rPr>
      <t>1</t>
    </r>
    <r>
      <rPr>
        <sz val="10"/>
        <color theme="1"/>
        <rFont val="Times New Roman"/>
        <family val="1"/>
      </rPr>
      <t>Estimated costs are only guidelines and not guarantees for reimbursement.</t>
    </r>
  </si>
  <si>
    <t>Gas Price</t>
  </si>
  <si>
    <t>From Request Tab</t>
  </si>
  <si>
    <t>2024</t>
  </si>
  <si>
    <t>0489</t>
  </si>
  <si>
    <t>Funding</t>
  </si>
  <si>
    <t>Training Complete</t>
  </si>
  <si>
    <t>191000</t>
  </si>
  <si>
    <t>8051</t>
  </si>
  <si>
    <t>ALFRED</t>
  </si>
  <si>
    <t>3200.</t>
  </si>
  <si>
    <t>742710</t>
  </si>
  <si>
    <t>BINKIEWICZ</t>
  </si>
  <si>
    <t>TRICIA</t>
  </si>
  <si>
    <t>635001</t>
  </si>
  <si>
    <t>BRAK</t>
  </si>
  <si>
    <t>567137</t>
  </si>
  <si>
    <t>RUSSELL</t>
  </si>
  <si>
    <t>951668</t>
  </si>
  <si>
    <t>CIANELLI</t>
  </si>
  <si>
    <t>ERIC</t>
  </si>
  <si>
    <t>823553</t>
  </si>
  <si>
    <t>8066</t>
  </si>
  <si>
    <t>COFFIELD</t>
  </si>
  <si>
    <t>HOPE</t>
  </si>
  <si>
    <t>813885</t>
  </si>
  <si>
    <t>COMBS</t>
  </si>
  <si>
    <t>467676</t>
  </si>
  <si>
    <t>328009</t>
  </si>
  <si>
    <t>870977</t>
  </si>
  <si>
    <t>DELVECCHIO</t>
  </si>
  <si>
    <t>976245</t>
  </si>
  <si>
    <t>DONAHUE</t>
  </si>
  <si>
    <t>NICHOLE</t>
  </si>
  <si>
    <t>506925</t>
  </si>
  <si>
    <t>449327</t>
  </si>
  <si>
    <t>740515</t>
  </si>
  <si>
    <t>HACKBART</t>
  </si>
  <si>
    <t>CASSANDRA</t>
  </si>
  <si>
    <t>847094</t>
  </si>
  <si>
    <t>HANNOOL</t>
  </si>
  <si>
    <t>LIM</t>
  </si>
  <si>
    <t>282538</t>
  </si>
  <si>
    <t>HAUSINGER</t>
  </si>
  <si>
    <t>656762</t>
  </si>
  <si>
    <t>858258</t>
  </si>
  <si>
    <t>HELMS</t>
  </si>
  <si>
    <t>416869</t>
  </si>
  <si>
    <t>143830</t>
  </si>
  <si>
    <t>030825</t>
  </si>
  <si>
    <t>KINNEER</t>
  </si>
  <si>
    <t>TABITHA</t>
  </si>
  <si>
    <t>520250</t>
  </si>
  <si>
    <t>KLEEH</t>
  </si>
  <si>
    <t>737060</t>
  </si>
  <si>
    <t>KLEIN</t>
  </si>
  <si>
    <t>PHILLIP</t>
  </si>
  <si>
    <t>545535</t>
  </si>
  <si>
    <t>8059</t>
  </si>
  <si>
    <t>LABRIOLA</t>
  </si>
  <si>
    <t>594089</t>
  </si>
  <si>
    <t>HANOOL</t>
  </si>
  <si>
    <t>974359</t>
  </si>
  <si>
    <t>MCLAUGHLIN</t>
  </si>
  <si>
    <t>318470</t>
  </si>
  <si>
    <t>MILLER</t>
  </si>
  <si>
    <t>049388</t>
  </si>
  <si>
    <t>MURAD</t>
  </si>
  <si>
    <t>MACLAINE</t>
  </si>
  <si>
    <t>696638</t>
  </si>
  <si>
    <t>NAPIER</t>
  </si>
  <si>
    <t>HIEDI</t>
  </si>
  <si>
    <t>379808</t>
  </si>
  <si>
    <t>NOPWASKY</t>
  </si>
  <si>
    <t>BARBARA</t>
  </si>
  <si>
    <t>238750</t>
  </si>
  <si>
    <t>PETTERMAN</t>
  </si>
  <si>
    <t>893318</t>
  </si>
  <si>
    <t>PHILLIPS</t>
  </si>
  <si>
    <t>543463</t>
  </si>
  <si>
    <t>REED</t>
  </si>
  <si>
    <t>082582</t>
  </si>
  <si>
    <t>RIGGS-SUSLOVIC</t>
  </si>
  <si>
    <t>DARCY</t>
  </si>
  <si>
    <t>142951</t>
  </si>
  <si>
    <t>RISNER</t>
  </si>
  <si>
    <t>JAMIE</t>
  </si>
  <si>
    <t>662952</t>
  </si>
  <si>
    <t>SHELDON</t>
  </si>
  <si>
    <t>PARNELL</t>
  </si>
  <si>
    <t>591780</t>
  </si>
  <si>
    <t>SOLE</t>
  </si>
  <si>
    <t>BRENDA</t>
  </si>
  <si>
    <t>035383</t>
  </si>
  <si>
    <t>STEELE</t>
  </si>
  <si>
    <t>619547</t>
  </si>
  <si>
    <t>STEINIGER</t>
  </si>
  <si>
    <t>304100</t>
  </si>
  <si>
    <t>STEPANEK</t>
  </si>
  <si>
    <t>353087</t>
  </si>
  <si>
    <t>KEITH</t>
  </si>
  <si>
    <t>226977</t>
  </si>
  <si>
    <t>3024</t>
  </si>
  <si>
    <t>TIMKO</t>
  </si>
  <si>
    <t>297272</t>
  </si>
  <si>
    <t>TUGALI</t>
  </si>
  <si>
    <t>BIKRAM</t>
  </si>
  <si>
    <t>972249</t>
  </si>
  <si>
    <t>WETZEL</t>
  </si>
  <si>
    <t>296469</t>
  </si>
  <si>
    <t>WHITEMAN</t>
  </si>
  <si>
    <t>DARA</t>
  </si>
  <si>
    <t>077391</t>
  </si>
  <si>
    <t>WORKMAN</t>
  </si>
  <si>
    <t>KAITLYN</t>
  </si>
  <si>
    <t>497777</t>
  </si>
  <si>
    <t>8085</t>
  </si>
  <si>
    <t>ZILLS</t>
  </si>
  <si>
    <t>195162</t>
  </si>
  <si>
    <t>OPIOID</t>
  </si>
  <si>
    <t>WV</t>
  </si>
  <si>
    <t>STEM</t>
  </si>
  <si>
    <t>Not Applicable</t>
  </si>
  <si>
    <t xml:space="preserve">Title III Grant </t>
  </si>
  <si>
    <t>DHHR TANF</t>
  </si>
  <si>
    <r>
      <rPr>
        <b/>
        <sz val="11"/>
        <color rgb="FFFF0000"/>
        <rFont val="Times New Roman"/>
        <family val="1"/>
      </rPr>
      <t>Travel Coordinator</t>
    </r>
    <r>
      <rPr>
        <sz val="11"/>
        <color theme="1"/>
        <rFont val="Times New Roman"/>
        <family val="1"/>
      </rPr>
      <t xml:space="preserve"> (Currently Marianne Stackhouse evaluate 'Request':</t>
    </r>
  </si>
  <si>
    <t>If subject to Perkins, e-mail to Dr. Mosser to forward to Travel@wvncc.edu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</si>
</sst>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h:mm\ AM/PM;@"/>
    <numFmt numFmtId="165" formatCode="_(* #,##0.0_);_(* \(#,##0.0\);_(* &quot;-&quot;??_);_(@_)"/>
    <numFmt numFmtId="166" formatCode="m/d/yy;@"/>
    <numFmt numFmtId="167" formatCode="_(* #,##0_);_(* \(#,##0\);_(* &quot;-&quot;??_);_(@_)"/>
    <numFmt numFmtId="168" formatCode="_(&quot;$&quot;* #,##0.000_);_(&quot;$&quot;* \(#,##0.000\);_(&quot;$&quot;* &quot;-&quot;??_);_(@_)"/>
    <numFmt numFmtId="169" formatCode="[$-409]mmmm\ d\,\ yyyy;@"/>
    <numFmt numFmtId="170" formatCode="0.000"/>
  </numFmts>
  <fonts count="58"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b/>
      <sz val="14"/>
      <color theme="1"/>
      <name val="Times New Roman"/>
      <family val="1"/>
    </font>
    <font>
      <sz val="10"/>
      <name val="Arial"/>
      <family val="2"/>
    </font>
    <font>
      <b/>
      <sz val="12"/>
      <color theme="1"/>
      <name val="Times New Roman"/>
      <family val="1"/>
    </font>
    <font>
      <sz val="12"/>
      <name val="Times New Roman"/>
      <family val="1"/>
    </font>
    <font>
      <sz val="10"/>
      <color theme="1"/>
      <name val="Times New Roman"/>
      <family val="1"/>
    </font>
    <font>
      <vertAlign val="superscript"/>
      <sz val="12"/>
      <color theme="1"/>
      <name val="Times New Roman"/>
      <family val="1"/>
    </font>
    <font>
      <vertAlign val="superscript"/>
      <sz val="10"/>
      <color theme="1"/>
      <name val="Times New Roman"/>
      <family val="1"/>
    </font>
    <font>
      <b/>
      <sz val="11"/>
      <color theme="1"/>
      <name val="Times New Roman"/>
      <family val="1"/>
    </font>
    <font>
      <b/>
      <sz val="11"/>
      <color rgb="FFFF0000"/>
      <name val="Times New Roman"/>
      <family val="1"/>
    </font>
    <font>
      <i/>
      <sz val="10"/>
      <color theme="1"/>
      <name val="Times New Roman"/>
      <family val="1"/>
    </font>
    <font>
      <i/>
      <u/>
      <sz val="10"/>
      <color theme="1"/>
      <name val="Times New Roman"/>
      <family val="1"/>
    </font>
    <font>
      <sz val="11"/>
      <color theme="0"/>
      <name val="Times New Roman"/>
      <family val="1"/>
    </font>
    <font>
      <sz val="9"/>
      <name val="Arial"/>
      <family val="2"/>
    </font>
    <font>
      <b/>
      <sz val="9"/>
      <name val="Arial"/>
      <family val="2"/>
    </font>
    <font>
      <sz val="10"/>
      <color rgb="FFFF0000"/>
      <name val="Arial"/>
      <family val="2"/>
    </font>
    <font>
      <sz val="8"/>
      <name val="Arial"/>
      <family val="2"/>
    </font>
    <font>
      <b/>
      <sz val="10"/>
      <name val="Arial"/>
      <family val="2"/>
    </font>
    <font>
      <b/>
      <sz val="9"/>
      <color rgb="FF0000FF"/>
      <name val="Arial"/>
      <family val="2"/>
    </font>
    <font>
      <b/>
      <sz val="10"/>
      <color indexed="10"/>
      <name val="Arial"/>
      <family val="2"/>
    </font>
    <font>
      <u/>
      <sz val="10"/>
      <color theme="10"/>
      <name val="Arial"/>
      <family val="2"/>
    </font>
    <font>
      <b/>
      <u/>
      <sz val="10"/>
      <color theme="10"/>
      <name val="Arial"/>
      <family val="2"/>
    </font>
    <font>
      <b/>
      <sz val="10"/>
      <color theme="10"/>
      <name val="Arial"/>
      <family val="2"/>
    </font>
    <font>
      <b/>
      <sz val="10"/>
      <color rgb="FFFF0000"/>
      <name val="Arial"/>
      <family val="2"/>
    </font>
    <font>
      <sz val="14"/>
      <name val="Arial"/>
      <family val="2"/>
    </font>
    <font>
      <sz val="18"/>
      <name val="Arial"/>
      <family val="2"/>
    </font>
    <font>
      <b/>
      <sz val="18"/>
      <name val="Arial"/>
      <family val="2"/>
    </font>
    <font>
      <sz val="8"/>
      <color indexed="81"/>
      <name val="Tahoma"/>
      <family val="2"/>
    </font>
    <font>
      <sz val="9"/>
      <color indexed="81"/>
      <name val="Tahoma"/>
      <family val="2"/>
    </font>
    <font>
      <b/>
      <sz val="14"/>
      <name val="Arial"/>
      <family val="2"/>
    </font>
    <font>
      <sz val="10"/>
      <name val="Arial"/>
      <family val="2"/>
    </font>
    <font>
      <b/>
      <sz val="8"/>
      <color indexed="8"/>
      <name val="Arial"/>
      <family val="2"/>
    </font>
    <font>
      <sz val="6"/>
      <color indexed="8"/>
      <name val="Arial"/>
      <family val="2"/>
    </font>
    <font>
      <sz val="8"/>
      <color indexed="8"/>
      <name val="Arial"/>
      <family val="2"/>
    </font>
    <font>
      <b/>
      <sz val="12"/>
      <name val="Times New Roman"/>
      <family val="1"/>
    </font>
    <font>
      <sz val="11"/>
      <color theme="0" tint="-0.34998626667073579"/>
      <name val="Times New Roman"/>
      <family val="1"/>
    </font>
    <font>
      <b/>
      <sz val="25"/>
      <color rgb="FFFF0000"/>
      <name val="Times New Roman"/>
      <family val="1"/>
    </font>
    <font>
      <sz val="12"/>
      <color theme="0" tint="-0.34998626667073579"/>
      <name val="Times New Roman"/>
      <family val="1"/>
    </font>
    <font>
      <b/>
      <sz val="12"/>
      <color rgb="FFFF0000"/>
      <name val="Arial"/>
      <family val="2"/>
    </font>
    <font>
      <b/>
      <i/>
      <sz val="10"/>
      <name val="Arial"/>
      <family val="2"/>
    </font>
    <font>
      <b/>
      <sz val="11"/>
      <color indexed="10"/>
      <name val="Tahoma"/>
      <family val="2"/>
    </font>
    <font>
      <b/>
      <u/>
      <sz val="11"/>
      <color indexed="10"/>
      <name val="Tahoma"/>
      <family val="2"/>
    </font>
    <font>
      <b/>
      <i/>
      <sz val="11"/>
      <color indexed="10"/>
      <name val="Tahoma"/>
      <family val="2"/>
    </font>
    <font>
      <b/>
      <sz val="11"/>
      <color indexed="81"/>
      <name val="Tahoma"/>
      <family val="2"/>
    </font>
    <font>
      <sz val="11"/>
      <color indexed="81"/>
      <name val="Tahoma"/>
      <family val="2"/>
    </font>
    <font>
      <i/>
      <sz val="11"/>
      <color indexed="81"/>
      <name val="Tahoma"/>
      <family val="2"/>
    </font>
    <font>
      <b/>
      <sz val="11"/>
      <color indexed="12"/>
      <name val="Tahoma"/>
      <family val="2"/>
    </font>
    <font>
      <b/>
      <u/>
      <sz val="11"/>
      <color indexed="81"/>
      <name val="Tahoma"/>
      <family val="2"/>
    </font>
    <font>
      <b/>
      <u/>
      <sz val="11"/>
      <color indexed="12"/>
      <name val="Tahoma"/>
      <family val="2"/>
    </font>
    <font>
      <u/>
      <sz val="11"/>
      <color indexed="81"/>
      <name val="Tahoma"/>
      <family val="2"/>
    </font>
    <font>
      <sz val="11"/>
      <name val="Times New Roman"/>
      <family val="1"/>
    </font>
    <font>
      <u/>
      <sz val="11"/>
      <color theme="10"/>
      <name val="Arial"/>
      <family val="2"/>
    </font>
    <font>
      <b/>
      <sz val="9"/>
      <color rgb="FF000080"/>
      <name val="Arial"/>
      <family val="2"/>
    </font>
    <font>
      <b/>
      <sz val="14"/>
      <color rgb="FF800000"/>
      <name val="Palatino Linotype"/>
      <family val="1"/>
    </font>
    <font>
      <b/>
      <vertAlign val="superscript"/>
      <sz val="12"/>
      <color theme="1"/>
      <name val="Times New Roman"/>
      <family val="1"/>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4F7FA"/>
        <bgColor indexed="64"/>
      </patternFill>
    </fill>
    <fill>
      <patternFill patternType="solid">
        <fgColor theme="7"/>
        <bgColor indexed="64"/>
      </patternFill>
    </fill>
    <fill>
      <patternFill patternType="solid">
        <fgColor indexed="47"/>
        <bgColor indexed="9"/>
      </patternFill>
    </fill>
    <fill>
      <patternFill patternType="solid">
        <fgColor indexed="9"/>
        <bgColor indexed="9"/>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dotted">
        <color auto="1"/>
      </top>
      <bottom/>
      <diagonal/>
    </border>
    <border>
      <left/>
      <right/>
      <top/>
      <bottom style="dotted">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diagonal/>
    </border>
    <border>
      <left/>
      <right style="medium">
        <color auto="1"/>
      </right>
      <top/>
      <bottom/>
      <diagonal/>
    </border>
    <border>
      <left style="medium">
        <color auto="1"/>
      </left>
      <right/>
      <top style="dotted">
        <color auto="1"/>
      </top>
      <bottom/>
      <diagonal/>
    </border>
    <border>
      <left style="medium">
        <color auto="1"/>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thin">
        <color indexed="64"/>
      </bottom>
      <diagonal/>
    </border>
    <border>
      <left style="medium">
        <color auto="1"/>
      </left>
      <right/>
      <top style="thin">
        <color auto="1"/>
      </top>
      <bottom/>
      <diagonal/>
    </border>
    <border>
      <left/>
      <right style="medium">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auto="1"/>
      </right>
      <top/>
      <bottom style="dotted">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bottom style="thin">
        <color indexed="8"/>
      </bottom>
      <diagonal/>
    </border>
    <border>
      <left style="medium">
        <color indexed="64"/>
      </left>
      <right/>
      <top/>
      <bottom style="thin">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23" fillId="0" borderId="0" applyNumberFormat="0" applyFill="0" applyBorder="0" applyAlignment="0" applyProtection="0"/>
    <xf numFmtId="0" fontId="33" fillId="0" borderId="0"/>
    <xf numFmtId="43" fontId="5" fillId="0" borderId="0" applyFont="0" applyFill="0" applyBorder="0" applyAlignment="0" applyProtection="0"/>
  </cellStyleXfs>
  <cellXfs count="678">
    <xf numFmtId="0" fontId="0" fillId="0" borderId="0" xfId="0"/>
    <xf numFmtId="0" fontId="2" fillId="0" borderId="0" xfId="0" applyFont="1"/>
    <xf numFmtId="0" fontId="3" fillId="0" borderId="0" xfId="0" applyFont="1"/>
    <xf numFmtId="0" fontId="6" fillId="0" borderId="0" xfId="0" applyFont="1"/>
    <xf numFmtId="43" fontId="3" fillId="0" borderId="0" xfId="1" applyFont="1"/>
    <xf numFmtId="0" fontId="3" fillId="0" borderId="1" xfId="0" applyFont="1" applyBorder="1" applyAlignment="1" applyProtection="1">
      <alignment horizontal="center"/>
      <protection locked="0"/>
    </xf>
    <xf numFmtId="0" fontId="6" fillId="0" borderId="0" xfId="0" applyFont="1" applyAlignment="1">
      <alignment horizontal="center"/>
    </xf>
    <xf numFmtId="43" fontId="3" fillId="0" borderId="0" xfId="1" applyFont="1" applyProtection="1">
      <protection locked="0"/>
    </xf>
    <xf numFmtId="44" fontId="2" fillId="0" borderId="5" xfId="2" applyFont="1" applyBorder="1" applyProtection="1">
      <protection locked="0"/>
    </xf>
    <xf numFmtId="44" fontId="2" fillId="0" borderId="0" xfId="2" applyFont="1" applyBorder="1" applyProtection="1">
      <protection locked="0"/>
    </xf>
    <xf numFmtId="44" fontId="2" fillId="0" borderId="6" xfId="2" applyFont="1" applyBorder="1" applyProtection="1">
      <protection locked="0"/>
    </xf>
    <xf numFmtId="0" fontId="2" fillId="0" borderId="0" xfId="0" applyFont="1" applyAlignment="1">
      <alignment horizontal="left" wrapText="1" indent="2"/>
    </xf>
    <xf numFmtId="0" fontId="3" fillId="0" borderId="0" xfId="0" applyFont="1" applyAlignment="1" applyProtection="1">
      <alignment horizontal="center"/>
      <protection locked="0"/>
    </xf>
    <xf numFmtId="44" fontId="6" fillId="0" borderId="0" xfId="2" applyFont="1" applyBorder="1"/>
    <xf numFmtId="43" fontId="3" fillId="0" borderId="1" xfId="1" applyFont="1" applyBorder="1" applyProtection="1">
      <protection locked="0"/>
    </xf>
    <xf numFmtId="0" fontId="2" fillId="0" borderId="0" xfId="0" applyFont="1" applyAlignment="1">
      <alignment horizontal="left" wrapText="1" indent="4"/>
    </xf>
    <xf numFmtId="0" fontId="2" fillId="0" borderId="0" xfId="0" applyFont="1" applyAlignment="1">
      <alignment horizontal="left" indent="4"/>
    </xf>
    <xf numFmtId="43" fontId="3" fillId="0" borderId="0" xfId="1" applyFont="1" applyProtection="1"/>
    <xf numFmtId="43" fontId="3" fillId="0" borderId="0" xfId="1" applyFont="1" applyBorder="1" applyProtection="1"/>
    <xf numFmtId="0" fontId="2" fillId="0" borderId="0" xfId="0" applyFont="1" applyAlignment="1">
      <alignment horizontal="left" wrapText="1" indent="3"/>
    </xf>
    <xf numFmtId="0" fontId="11" fillId="0" borderId="0" xfId="0" applyFont="1"/>
    <xf numFmtId="167" fontId="3" fillId="0" borderId="0" xfId="1" applyNumberFormat="1" applyFont="1" applyProtection="1">
      <protection locked="0"/>
    </xf>
    <xf numFmtId="164" fontId="3" fillId="0" borderId="1" xfId="0" applyNumberFormat="1" applyFont="1" applyBorder="1" applyAlignment="1" applyProtection="1">
      <alignment horizontal="center"/>
      <protection locked="0"/>
    </xf>
    <xf numFmtId="44" fontId="2" fillId="0" borderId="0" xfId="2" applyFont="1" applyBorder="1" applyProtection="1"/>
    <xf numFmtId="44" fontId="2" fillId="0" borderId="5" xfId="2" applyFont="1" applyBorder="1" applyProtection="1"/>
    <xf numFmtId="44" fontId="2" fillId="0" borderId="6" xfId="2" applyFont="1" applyBorder="1" applyProtection="1"/>
    <xf numFmtId="164" fontId="7" fillId="0" borderId="0" xfId="0" applyNumberFormat="1" applyFont="1" applyAlignment="1">
      <alignment horizontal="center"/>
    </xf>
    <xf numFmtId="44" fontId="6" fillId="0" borderId="0" xfId="2" applyFont="1" applyBorder="1" applyProtection="1"/>
    <xf numFmtId="164" fontId="3" fillId="0" borderId="0" xfId="0" applyNumberFormat="1" applyFont="1" applyAlignment="1">
      <alignment horizontal="center"/>
    </xf>
    <xf numFmtId="0" fontId="7" fillId="0" borderId="0" xfId="0" applyFont="1" applyAlignment="1">
      <alignment horizontal="left"/>
    </xf>
    <xf numFmtId="44" fontId="2" fillId="0" borderId="3" xfId="2" applyFont="1" applyBorder="1" applyProtection="1"/>
    <xf numFmtId="164" fontId="2" fillId="0" borderId="3" xfId="0" applyNumberFormat="1" applyFont="1" applyBorder="1" applyAlignment="1">
      <alignment horizontal="left"/>
    </xf>
    <xf numFmtId="0" fontId="2" fillId="0" borderId="3" xfId="0" applyFont="1" applyBorder="1" applyAlignment="1">
      <alignment horizontal="left"/>
    </xf>
    <xf numFmtId="0" fontId="2" fillId="0" borderId="3" xfId="0" applyFont="1" applyBorder="1"/>
    <xf numFmtId="44" fontId="2" fillId="0" borderId="21" xfId="0" applyNumberFormat="1" applyFont="1" applyBorder="1"/>
    <xf numFmtId="0" fontId="2" fillId="0" borderId="0" xfId="0" applyFont="1" applyAlignment="1">
      <alignment horizontal="left"/>
    </xf>
    <xf numFmtId="44" fontId="2" fillId="0" borderId="13" xfId="0" applyNumberFormat="1" applyFont="1" applyBorder="1"/>
    <xf numFmtId="166" fontId="2" fillId="0" borderId="20" xfId="0" applyNumberFormat="1" applyFont="1" applyBorder="1" applyAlignment="1">
      <alignment horizontal="left"/>
    </xf>
    <xf numFmtId="0" fontId="8" fillId="0" borderId="0" xfId="0" applyFont="1" applyAlignment="1">
      <alignment vertical="center" wrapText="1"/>
    </xf>
    <xf numFmtId="0" fontId="8" fillId="0" borderId="0" xfId="0" applyFont="1" applyAlignment="1">
      <alignment horizontal="center" vertical="center" wrapText="1"/>
    </xf>
    <xf numFmtId="0" fontId="3" fillId="0" borderId="8" xfId="0" applyFont="1" applyBorder="1"/>
    <xf numFmtId="0" fontId="3" fillId="0" borderId="9" xfId="0" applyFont="1" applyBorder="1"/>
    <xf numFmtId="0" fontId="3" fillId="0" borderId="12" xfId="0" applyFont="1" applyBorder="1"/>
    <xf numFmtId="0" fontId="3" fillId="0" borderId="13" xfId="0" applyFont="1" applyBorder="1"/>
    <xf numFmtId="44" fontId="3" fillId="0" borderId="0" xfId="2" applyFont="1" applyBorder="1"/>
    <xf numFmtId="0" fontId="3" fillId="0" borderId="16" xfId="0" applyFont="1" applyBorder="1"/>
    <xf numFmtId="0" fontId="3" fillId="0" borderId="17" xfId="0" applyFont="1" applyBorder="1"/>
    <xf numFmtId="0" fontId="3" fillId="0" borderId="18" xfId="0" applyFont="1" applyBorder="1"/>
    <xf numFmtId="0" fontId="8" fillId="2" borderId="0" xfId="0" applyFont="1" applyFill="1" applyAlignment="1">
      <alignment horizontal="center" vertical="center" wrapText="1"/>
    </xf>
    <xf numFmtId="0" fontId="3" fillId="0" borderId="0" xfId="0" applyFont="1" applyAlignment="1">
      <alignment horizontal="left"/>
    </xf>
    <xf numFmtId="0" fontId="3" fillId="0" borderId="1" xfId="0" applyFont="1" applyBorder="1" applyAlignment="1">
      <alignment horizontal="center"/>
    </xf>
    <xf numFmtId="43" fontId="3" fillId="0" borderId="0" xfId="1"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1" xfId="0" applyFont="1" applyBorder="1" applyAlignment="1">
      <alignment horizontal="center" wrapText="1"/>
    </xf>
    <xf numFmtId="0" fontId="2" fillId="0" borderId="0" xfId="0" applyFont="1" applyAlignment="1">
      <alignment horizontal="center" wrapText="1"/>
    </xf>
    <xf numFmtId="44" fontId="2" fillId="0" borderId="24" xfId="0" applyNumberFormat="1" applyFont="1" applyBorder="1"/>
    <xf numFmtId="166" fontId="2" fillId="0" borderId="0" xfId="0" applyNumberFormat="1" applyFont="1" applyAlignment="1">
      <alignment horizontal="center"/>
    </xf>
    <xf numFmtId="44" fontId="2" fillId="0" borderId="0" xfId="0" applyNumberFormat="1" applyFont="1"/>
    <xf numFmtId="0" fontId="2" fillId="0" borderId="1" xfId="0" applyFont="1" applyBorder="1" applyAlignment="1">
      <alignment horizontal="left"/>
    </xf>
    <xf numFmtId="44" fontId="2" fillId="0" borderId="1" xfId="2" applyFont="1" applyBorder="1" applyProtection="1"/>
    <xf numFmtId="166" fontId="2" fillId="0" borderId="0" xfId="0" applyNumberFormat="1" applyFont="1"/>
    <xf numFmtId="164" fontId="2" fillId="0" borderId="0" xfId="0" applyNumberFormat="1" applyFont="1"/>
    <xf numFmtId="44" fontId="2" fillId="0" borderId="0" xfId="2" applyFont="1" applyProtection="1"/>
    <xf numFmtId="166" fontId="15" fillId="3" borderId="12" xfId="0" applyNumberFormat="1" applyFont="1" applyFill="1" applyBorder="1" applyAlignment="1" applyProtection="1">
      <alignment horizontal="center"/>
      <protection locked="0"/>
    </xf>
    <xf numFmtId="166" fontId="15" fillId="3" borderId="14" xfId="0" applyNumberFormat="1" applyFont="1" applyFill="1" applyBorder="1" applyAlignment="1" applyProtection="1">
      <alignment horizontal="center"/>
      <protection locked="0"/>
    </xf>
    <xf numFmtId="166" fontId="15" fillId="3" borderId="15" xfId="0" applyNumberFormat="1" applyFont="1" applyFill="1" applyBorder="1" applyAlignment="1" applyProtection="1">
      <alignment horizontal="center"/>
      <protection locked="0"/>
    </xf>
    <xf numFmtId="0" fontId="11" fillId="0" borderId="0" xfId="0" applyFont="1" applyAlignment="1">
      <alignment horizontal="center" wrapText="1"/>
    </xf>
    <xf numFmtId="0" fontId="11" fillId="0" borderId="0" xfId="0" applyFont="1" applyAlignment="1">
      <alignment horizontal="center"/>
    </xf>
    <xf numFmtId="0" fontId="11" fillId="0" borderId="0" xfId="0" applyFont="1" applyAlignment="1">
      <alignment horizontal="center" vertical="top"/>
    </xf>
    <xf numFmtId="0" fontId="7" fillId="0" borderId="2" xfId="0" applyFont="1" applyBorder="1" applyAlignment="1" applyProtection="1">
      <alignment horizontal="left"/>
      <protection locked="0"/>
    </xf>
    <xf numFmtId="0" fontId="5" fillId="0" borderId="0" xfId="3"/>
    <xf numFmtId="0" fontId="17" fillId="5" borderId="16" xfId="3" applyFont="1" applyFill="1" applyBorder="1" applyAlignment="1">
      <alignment horizontal="center"/>
    </xf>
    <xf numFmtId="0" fontId="17" fillId="5" borderId="16" xfId="3" applyFont="1" applyFill="1" applyBorder="1" applyAlignment="1">
      <alignment horizontal="center" wrapText="1"/>
    </xf>
    <xf numFmtId="0" fontId="17" fillId="5" borderId="27" xfId="3" applyFont="1" applyFill="1" applyBorder="1" applyAlignment="1">
      <alignment horizontal="center"/>
    </xf>
    <xf numFmtId="0" fontId="5" fillId="6" borderId="0" xfId="3" applyFill="1"/>
    <xf numFmtId="0" fontId="5" fillId="0" borderId="0" xfId="3" applyAlignment="1">
      <alignment horizontal="center"/>
    </xf>
    <xf numFmtId="0" fontId="16" fillId="0" borderId="0" xfId="3" applyFont="1"/>
    <xf numFmtId="39" fontId="16" fillId="0" borderId="2" xfId="3" applyNumberFormat="1" applyFont="1" applyBorder="1"/>
    <xf numFmtId="39" fontId="16" fillId="0" borderId="42" xfId="3" applyNumberFormat="1" applyFont="1" applyBorder="1" applyProtection="1">
      <protection locked="0"/>
    </xf>
    <xf numFmtId="14" fontId="16" fillId="0" borderId="42" xfId="3" applyNumberFormat="1" applyFont="1" applyBorder="1" applyProtection="1">
      <protection locked="0"/>
    </xf>
    <xf numFmtId="39" fontId="16" fillId="0" borderId="43" xfId="3" applyNumberFormat="1" applyFont="1" applyBorder="1" applyProtection="1">
      <protection locked="0"/>
    </xf>
    <xf numFmtId="14" fontId="16" fillId="0" borderId="43" xfId="3" applyNumberFormat="1" applyFont="1" applyBorder="1" applyProtection="1">
      <protection locked="0"/>
    </xf>
    <xf numFmtId="39" fontId="16" fillId="0" borderId="46" xfId="3" applyNumberFormat="1" applyFont="1" applyBorder="1" applyProtection="1">
      <protection locked="0"/>
    </xf>
    <xf numFmtId="0" fontId="16" fillId="0" borderId="46" xfId="3" applyFont="1" applyBorder="1" applyProtection="1">
      <protection locked="0"/>
    </xf>
    <xf numFmtId="14" fontId="16" fillId="0" borderId="46" xfId="3" applyNumberFormat="1" applyFont="1" applyBorder="1" applyProtection="1">
      <protection locked="0"/>
    </xf>
    <xf numFmtId="14" fontId="16" fillId="0" borderId="10" xfId="3" applyNumberFormat="1" applyFont="1" applyBorder="1" applyProtection="1">
      <protection locked="0"/>
    </xf>
    <xf numFmtId="39" fontId="16" fillId="0" borderId="43" xfId="3" applyNumberFormat="1" applyFont="1" applyBorder="1"/>
    <xf numFmtId="0" fontId="26" fillId="0" borderId="0" xfId="3" applyFont="1" applyAlignment="1">
      <alignment wrapText="1"/>
    </xf>
    <xf numFmtId="39" fontId="16" fillId="0" borderId="52" xfId="3" applyNumberFormat="1" applyFont="1" applyBorder="1"/>
    <xf numFmtId="0" fontId="20" fillId="0" borderId="0" xfId="3" applyFont="1"/>
    <xf numFmtId="0" fontId="17" fillId="5" borderId="16" xfId="3" applyFont="1" applyFill="1" applyBorder="1" applyAlignment="1">
      <alignment horizontal="centerContinuous"/>
    </xf>
    <xf numFmtId="0" fontId="17" fillId="5" borderId="17" xfId="3" applyFont="1" applyFill="1" applyBorder="1" applyAlignment="1">
      <alignment horizontal="center"/>
    </xf>
    <xf numFmtId="0" fontId="17" fillId="5" borderId="17" xfId="3" applyFont="1" applyFill="1" applyBorder="1" applyAlignment="1">
      <alignment horizontal="centerContinuous"/>
    </xf>
    <xf numFmtId="0" fontId="20" fillId="0" borderId="4" xfId="3" applyFont="1" applyBorder="1" applyAlignment="1">
      <alignment vertical="center" wrapText="1"/>
    </xf>
    <xf numFmtId="0" fontId="20" fillId="6" borderId="4" xfId="3" applyFont="1" applyFill="1" applyBorder="1" applyAlignment="1">
      <alignment wrapText="1"/>
    </xf>
    <xf numFmtId="0" fontId="20" fillId="0" borderId="27" xfId="3" applyFont="1" applyBorder="1" applyAlignment="1">
      <alignment vertical="center" wrapText="1"/>
    </xf>
    <xf numFmtId="0" fontId="20" fillId="6" borderId="4" xfId="3" applyFont="1" applyFill="1" applyBorder="1" applyAlignment="1" applyProtection="1">
      <alignment horizontal="center"/>
      <protection locked="0"/>
    </xf>
    <xf numFmtId="0" fontId="20" fillId="0" borderId="17" xfId="3" applyFont="1" applyBorder="1" applyAlignment="1">
      <alignment horizontal="right"/>
    </xf>
    <xf numFmtId="0" fontId="20" fillId="0" borderId="16" xfId="3" applyFont="1" applyBorder="1"/>
    <xf numFmtId="0" fontId="20" fillId="6" borderId="52" xfId="3" applyFont="1" applyFill="1" applyBorder="1" applyAlignment="1" applyProtection="1">
      <alignment horizontal="center"/>
      <protection locked="0"/>
    </xf>
    <xf numFmtId="0" fontId="20" fillId="0" borderId="8" xfId="3" applyFont="1" applyBorder="1" applyAlignment="1">
      <alignment horizontal="right"/>
    </xf>
    <xf numFmtId="0" fontId="20" fillId="0" borderId="7" xfId="3" applyFont="1" applyBorder="1"/>
    <xf numFmtId="0" fontId="20" fillId="6" borderId="3" xfId="3" applyFont="1" applyFill="1" applyBorder="1" applyProtection="1">
      <protection locked="0"/>
    </xf>
    <xf numFmtId="0" fontId="20" fillId="0" borderId="3" xfId="3" applyFont="1" applyBorder="1" applyAlignment="1">
      <alignment horizontal="right"/>
    </xf>
    <xf numFmtId="0" fontId="20" fillId="0" borderId="19" xfId="3" applyFont="1" applyBorder="1" applyAlignment="1">
      <alignment horizontal="right"/>
    </xf>
    <xf numFmtId="0" fontId="20" fillId="0" borderId="19" xfId="3" applyFont="1" applyBorder="1"/>
    <xf numFmtId="0" fontId="20" fillId="0" borderId="19" xfId="3" applyFont="1" applyBorder="1" applyAlignment="1">
      <alignment horizontal="left"/>
    </xf>
    <xf numFmtId="0" fontId="5" fillId="6" borderId="2" xfId="3" applyFill="1" applyBorder="1"/>
    <xf numFmtId="0" fontId="20" fillId="6" borderId="0" xfId="3" applyFont="1" applyFill="1" applyProtection="1">
      <protection locked="0"/>
    </xf>
    <xf numFmtId="0" fontId="20" fillId="6" borderId="48" xfId="3" applyFont="1" applyFill="1" applyBorder="1"/>
    <xf numFmtId="0" fontId="20" fillId="0" borderId="53" xfId="3" applyFont="1" applyBorder="1" applyAlignment="1">
      <alignment horizontal="right"/>
    </xf>
    <xf numFmtId="0" fontId="27" fillId="0" borderId="0" xfId="3" applyFont="1"/>
    <xf numFmtId="0" fontId="28" fillId="0" borderId="0" xfId="3" applyFont="1" applyAlignment="1">
      <alignment horizontal="centerContinuous"/>
    </xf>
    <xf numFmtId="0" fontId="29" fillId="0" borderId="0" xfId="3" applyFont="1" applyAlignment="1">
      <alignment horizontal="centerContinuous"/>
    </xf>
    <xf numFmtId="39" fontId="16" fillId="0" borderId="0" xfId="3" applyNumberFormat="1" applyFont="1"/>
    <xf numFmtId="39" fontId="16" fillId="0" borderId="0" xfId="3" applyNumberFormat="1" applyFont="1" applyProtection="1">
      <protection locked="0"/>
    </xf>
    <xf numFmtId="39" fontId="16" fillId="0" borderId="0" xfId="3" applyNumberFormat="1" applyFont="1" applyAlignment="1">
      <alignment horizontal="right"/>
    </xf>
    <xf numFmtId="37" fontId="16" fillId="0" borderId="0" xfId="3" applyNumberFormat="1" applyFont="1" applyProtection="1">
      <protection locked="0"/>
    </xf>
    <xf numFmtId="49" fontId="16" fillId="0" borderId="0" xfId="3" applyNumberFormat="1" applyFont="1"/>
    <xf numFmtId="49" fontId="16" fillId="0" borderId="0" xfId="3" applyNumberFormat="1" applyFont="1" applyProtection="1">
      <protection locked="0"/>
    </xf>
    <xf numFmtId="14" fontId="16" fillId="0" borderId="0" xfId="3" applyNumberFormat="1" applyFont="1" applyProtection="1">
      <protection locked="0"/>
    </xf>
    <xf numFmtId="39" fontId="17" fillId="5" borderId="4" xfId="3" applyNumberFormat="1" applyFont="1" applyFill="1" applyBorder="1" applyProtection="1">
      <protection locked="0"/>
    </xf>
    <xf numFmtId="0" fontId="16" fillId="0" borderId="42" xfId="3" applyFont="1" applyBorder="1" applyAlignment="1" applyProtection="1">
      <alignment horizontal="center"/>
      <protection locked="0"/>
    </xf>
    <xf numFmtId="0" fontId="16" fillId="0" borderId="43" xfId="3" applyFont="1" applyBorder="1" applyAlignment="1" applyProtection="1">
      <alignment horizontal="center"/>
      <protection locked="0"/>
    </xf>
    <xf numFmtId="0" fontId="17" fillId="0" borderId="0" xfId="3" applyFont="1" applyAlignment="1">
      <alignment horizontal="center"/>
    </xf>
    <xf numFmtId="0" fontId="17" fillId="0" borderId="0" xfId="3" applyFont="1" applyAlignment="1">
      <alignment horizontal="center" wrapText="1"/>
    </xf>
    <xf numFmtId="0" fontId="26" fillId="0" borderId="0" xfId="3" applyFont="1" applyAlignment="1">
      <alignment horizontal="left" vertical="center" wrapText="1"/>
    </xf>
    <xf numFmtId="0" fontId="20" fillId="0" borderId="0" xfId="3" applyFont="1" applyAlignment="1">
      <alignment vertical="center" wrapText="1"/>
    </xf>
    <xf numFmtId="0" fontId="20" fillId="0" borderId="0" xfId="3" applyFont="1" applyAlignment="1">
      <alignment wrapText="1"/>
    </xf>
    <xf numFmtId="0" fontId="20" fillId="0" borderId="0" xfId="3" applyFont="1" applyAlignment="1">
      <alignment horizontal="right" vertical="center" wrapText="1"/>
    </xf>
    <xf numFmtId="0" fontId="23" fillId="0" borderId="0" xfId="4" applyFill="1" applyBorder="1" applyAlignment="1">
      <alignment horizontal="center" vertical="center" wrapText="1"/>
    </xf>
    <xf numFmtId="0" fontId="20" fillId="0" borderId="0" xfId="3" applyFont="1" applyAlignment="1">
      <alignment horizontal="right"/>
    </xf>
    <xf numFmtId="0" fontId="20" fillId="0" borderId="0" xfId="3" applyFont="1" applyAlignment="1" applyProtection="1">
      <alignment horizontal="center"/>
      <protection locked="0"/>
    </xf>
    <xf numFmtId="0" fontId="20" fillId="0" borderId="0" xfId="3" applyFont="1" applyProtection="1">
      <protection locked="0"/>
    </xf>
    <xf numFmtId="49" fontId="20" fillId="0" borderId="0" xfId="3" applyNumberFormat="1" applyFont="1" applyProtection="1">
      <protection locked="0"/>
    </xf>
    <xf numFmtId="0" fontId="20" fillId="0" borderId="0" xfId="3" applyFont="1" applyAlignment="1">
      <alignment horizontal="left"/>
    </xf>
    <xf numFmtId="0" fontId="20" fillId="0" borderId="0" xfId="3" applyFont="1" applyAlignment="1">
      <alignment horizontal="center"/>
    </xf>
    <xf numFmtId="0" fontId="20" fillId="0" borderId="0" xfId="3" applyFont="1" applyAlignment="1">
      <alignment horizontal="right" wrapText="1"/>
    </xf>
    <xf numFmtId="0" fontId="20" fillId="5" borderId="4" xfId="3" applyFont="1" applyFill="1" applyBorder="1" applyAlignment="1">
      <alignment horizontal="centerContinuous"/>
    </xf>
    <xf numFmtId="0" fontId="20" fillId="5" borderId="4" xfId="3" applyFont="1" applyFill="1" applyBorder="1"/>
    <xf numFmtId="0" fontId="20" fillId="5" borderId="4" xfId="3" applyFont="1" applyFill="1" applyBorder="1" applyAlignment="1">
      <alignment horizontal="center"/>
    </xf>
    <xf numFmtId="0" fontId="20" fillId="5" borderId="17" xfId="3" applyFont="1" applyFill="1" applyBorder="1" applyAlignment="1">
      <alignment horizontal="centerContinuous"/>
    </xf>
    <xf numFmtId="0" fontId="20" fillId="5" borderId="16" xfId="3" applyFont="1" applyFill="1" applyBorder="1" applyAlignment="1">
      <alignment horizontal="centerContinuous"/>
    </xf>
    <xf numFmtId="0" fontId="5" fillId="5" borderId="26" xfId="3" applyFill="1" applyBorder="1" applyAlignment="1">
      <alignment horizontal="centerContinuous"/>
    </xf>
    <xf numFmtId="0" fontId="5" fillId="5" borderId="4" xfId="3" applyFill="1" applyBorder="1" applyAlignment="1">
      <alignment horizontal="centerContinuous"/>
    </xf>
    <xf numFmtId="0" fontId="5" fillId="5" borderId="28" xfId="3" applyFill="1" applyBorder="1" applyAlignment="1">
      <alignment horizontal="centerContinuous"/>
    </xf>
    <xf numFmtId="0" fontId="20" fillId="5" borderId="25" xfId="3" applyFont="1" applyFill="1" applyBorder="1" applyAlignment="1">
      <alignment horizontal="centerContinuous"/>
    </xf>
    <xf numFmtId="39" fontId="17" fillId="5" borderId="18" xfId="3" applyNumberFormat="1" applyFont="1" applyFill="1" applyBorder="1"/>
    <xf numFmtId="39" fontId="17" fillId="5" borderId="27" xfId="3" applyNumberFormat="1" applyFont="1" applyFill="1" applyBorder="1"/>
    <xf numFmtId="0" fontId="17" fillId="5" borderId="16" xfId="3" applyFont="1" applyFill="1" applyBorder="1"/>
    <xf numFmtId="37" fontId="17" fillId="5" borderId="27" xfId="3" applyNumberFormat="1" applyFont="1" applyFill="1" applyBorder="1"/>
    <xf numFmtId="2" fontId="20" fillId="6" borderId="4" xfId="3" applyNumberFormat="1" applyFont="1" applyFill="1" applyBorder="1" applyProtection="1">
      <protection locked="0"/>
    </xf>
    <xf numFmtId="0" fontId="5" fillId="6" borderId="44" xfId="3" applyFill="1" applyBorder="1"/>
    <xf numFmtId="0" fontId="5" fillId="6" borderId="3" xfId="3" applyFill="1" applyBorder="1"/>
    <xf numFmtId="0" fontId="20" fillId="0" borderId="2" xfId="3" applyFont="1" applyBorder="1" applyAlignment="1">
      <alignment horizontal="right"/>
    </xf>
    <xf numFmtId="0" fontId="5" fillId="6" borderId="21" xfId="3" applyFill="1" applyBorder="1"/>
    <xf numFmtId="0" fontId="5" fillId="0" borderId="19" xfId="3" applyBorder="1"/>
    <xf numFmtId="0" fontId="5" fillId="0" borderId="3" xfId="3" applyBorder="1"/>
    <xf numFmtId="0" fontId="20" fillId="6" borderId="2" xfId="3" applyFont="1" applyFill="1" applyBorder="1" applyProtection="1">
      <protection locked="0"/>
    </xf>
    <xf numFmtId="49" fontId="5" fillId="6" borderId="3" xfId="3" applyNumberFormat="1" applyFill="1" applyBorder="1" applyProtection="1">
      <protection locked="0"/>
    </xf>
    <xf numFmtId="0" fontId="5" fillId="6" borderId="3" xfId="3" applyFill="1" applyBorder="1" applyAlignment="1">
      <alignment horizontal="right"/>
    </xf>
    <xf numFmtId="0" fontId="5" fillId="6" borderId="9" xfId="3" applyFill="1" applyBorder="1"/>
    <xf numFmtId="49" fontId="20" fillId="6" borderId="48" xfId="3" applyNumberFormat="1" applyFont="1" applyFill="1" applyBorder="1"/>
    <xf numFmtId="0" fontId="5" fillId="6" borderId="54" xfId="3" applyFill="1" applyBorder="1"/>
    <xf numFmtId="0" fontId="5" fillId="6" borderId="48" xfId="3" applyFill="1" applyBorder="1"/>
    <xf numFmtId="0" fontId="5" fillId="6" borderId="8" xfId="3" applyFill="1" applyBorder="1" applyProtection="1">
      <protection locked="0"/>
    </xf>
    <xf numFmtId="0" fontId="5" fillId="6" borderId="22" xfId="3" applyFill="1" applyBorder="1"/>
    <xf numFmtId="0" fontId="5" fillId="0" borderId="17" xfId="3" applyBorder="1"/>
    <xf numFmtId="0" fontId="32" fillId="0" borderId="0" xfId="3" applyFont="1"/>
    <xf numFmtId="0" fontId="28" fillId="0" borderId="0" xfId="3" applyFont="1"/>
    <xf numFmtId="0" fontId="29" fillId="0" borderId="0" xfId="3" applyFont="1"/>
    <xf numFmtId="167" fontId="2" fillId="0" borderId="0" xfId="1" applyNumberFormat="1" applyFont="1" applyBorder="1" applyProtection="1">
      <protection locked="0"/>
    </xf>
    <xf numFmtId="0" fontId="2" fillId="0" borderId="0" xfId="2" applyNumberFormat="1" applyFont="1" applyBorder="1" applyProtection="1">
      <protection locked="0"/>
    </xf>
    <xf numFmtId="0" fontId="2" fillId="0" borderId="5" xfId="2" applyNumberFormat="1" applyFont="1" applyBorder="1" applyProtection="1">
      <protection locked="0"/>
    </xf>
    <xf numFmtId="0" fontId="2" fillId="0" borderId="6" xfId="2" applyNumberFormat="1" applyFont="1" applyBorder="1" applyProtection="1">
      <protection locked="0"/>
    </xf>
    <xf numFmtId="166" fontId="2" fillId="0" borderId="3" xfId="0" applyNumberFormat="1" applyFont="1" applyBorder="1" applyAlignment="1">
      <alignment horizontal="left"/>
    </xf>
    <xf numFmtId="14" fontId="2" fillId="0" borderId="0" xfId="0" applyNumberFormat="1" applyFont="1"/>
    <xf numFmtId="43" fontId="16" fillId="0" borderId="1" xfId="1" applyFont="1" applyBorder="1" applyProtection="1">
      <protection locked="0"/>
    </xf>
    <xf numFmtId="43" fontId="16" fillId="0" borderId="47" xfId="1" applyFont="1" applyBorder="1" applyAlignment="1">
      <alignment horizontal="right"/>
    </xf>
    <xf numFmtId="43" fontId="16" fillId="0" borderId="44" xfId="1" applyFont="1" applyBorder="1" applyAlignment="1">
      <alignment horizontal="right"/>
    </xf>
    <xf numFmtId="49" fontId="34" fillId="8" borderId="55" xfId="5" applyNumberFormat="1" applyFont="1" applyFill="1" applyBorder="1" applyAlignment="1">
      <alignment horizontal="left" wrapText="1"/>
    </xf>
    <xf numFmtId="0" fontId="35" fillId="9" borderId="0" xfId="5" applyFont="1" applyFill="1" applyAlignment="1">
      <alignment vertical="center"/>
    </xf>
    <xf numFmtId="49" fontId="36" fillId="9" borderId="55" xfId="5" applyNumberFormat="1" applyFont="1" applyFill="1" applyBorder="1" applyAlignment="1">
      <alignment horizontal="left" vertical="center" wrapText="1"/>
    </xf>
    <xf numFmtId="0" fontId="33" fillId="0" borderId="0" xfId="5"/>
    <xf numFmtId="0" fontId="7" fillId="0" borderId="2" xfId="0" applyFont="1" applyBorder="1" applyAlignment="1" applyProtection="1">
      <alignment horizontal="center"/>
      <protection locked="0"/>
    </xf>
    <xf numFmtId="164" fontId="16" fillId="0" borderId="10" xfId="3" applyNumberFormat="1" applyFont="1" applyBorder="1" applyProtection="1">
      <protection locked="0"/>
    </xf>
    <xf numFmtId="0" fontId="2" fillId="0" borderId="0" xfId="0" applyFont="1" applyProtection="1">
      <protection locked="0"/>
    </xf>
    <xf numFmtId="0" fontId="2" fillId="0" borderId="5" xfId="0" applyFont="1" applyBorder="1" applyProtection="1">
      <protection locked="0"/>
    </xf>
    <xf numFmtId="0" fontId="2" fillId="0" borderId="6" xfId="0" applyFont="1" applyBorder="1" applyProtection="1">
      <protection locked="0"/>
    </xf>
    <xf numFmtId="0" fontId="7" fillId="0" borderId="2" xfId="0" applyFont="1" applyBorder="1" applyAlignment="1">
      <alignment horizontal="left"/>
    </xf>
    <xf numFmtId="166" fontId="38" fillId="3" borderId="12" xfId="0" applyNumberFormat="1" applyFont="1" applyFill="1" applyBorder="1" applyAlignment="1" applyProtection="1">
      <alignment horizontal="center"/>
      <protection locked="0"/>
    </xf>
    <xf numFmtId="16" fontId="38" fillId="0" borderId="0" xfId="2" applyNumberFormat="1" applyFont="1" applyBorder="1" applyProtection="1">
      <protection locked="0"/>
    </xf>
    <xf numFmtId="0" fontId="38" fillId="0" borderId="0" xfId="0" applyFont="1" applyAlignment="1" applyProtection="1">
      <alignment horizontal="center"/>
      <protection locked="0"/>
    </xf>
    <xf numFmtId="0" fontId="38" fillId="0" borderId="0" xfId="0" applyFont="1" applyProtection="1">
      <protection locked="0"/>
    </xf>
    <xf numFmtId="0" fontId="38" fillId="0" borderId="0" xfId="2" applyNumberFormat="1" applyFont="1" applyBorder="1" applyProtection="1">
      <protection locked="0"/>
    </xf>
    <xf numFmtId="44" fontId="38" fillId="0" borderId="0" xfId="2" applyFont="1" applyBorder="1" applyProtection="1"/>
    <xf numFmtId="44" fontId="38" fillId="0" borderId="0" xfId="2" applyFont="1" applyBorder="1" applyProtection="1">
      <protection locked="0"/>
    </xf>
    <xf numFmtId="44" fontId="38" fillId="0" borderId="13" xfId="0" applyNumberFormat="1" applyFont="1" applyBorder="1"/>
    <xf numFmtId="166" fontId="2" fillId="0" borderId="12" xfId="0" applyNumberFormat="1" applyFont="1" applyBorder="1" applyAlignment="1">
      <alignment horizontal="center" wrapText="1"/>
    </xf>
    <xf numFmtId="164" fontId="2" fillId="0" borderId="0" xfId="0" applyNumberFormat="1" applyFont="1" applyAlignment="1">
      <alignment horizontal="center" wrapText="1"/>
    </xf>
    <xf numFmtId="0" fontId="2" fillId="7" borderId="0" xfId="0" applyFont="1" applyFill="1" applyAlignment="1">
      <alignment horizontal="center" wrapText="1"/>
    </xf>
    <xf numFmtId="44" fontId="2" fillId="0" borderId="0" xfId="2" applyFont="1" applyBorder="1" applyAlignment="1" applyProtection="1">
      <alignment horizontal="center" wrapText="1"/>
    </xf>
    <xf numFmtId="0" fontId="2" fillId="0" borderId="13" xfId="0" applyFont="1" applyBorder="1" applyAlignment="1">
      <alignment horizontal="center" wrapText="1"/>
    </xf>
    <xf numFmtId="44" fontId="38" fillId="0" borderId="8" xfId="2" applyFont="1" applyBorder="1" applyProtection="1"/>
    <xf numFmtId="44" fontId="38" fillId="0" borderId="9" xfId="0" applyNumberFormat="1" applyFont="1" applyBorder="1"/>
    <xf numFmtId="166" fontId="38" fillId="3" borderId="7" xfId="0" applyNumberFormat="1" applyFont="1" applyFill="1" applyBorder="1" applyAlignment="1">
      <alignment horizontal="center"/>
    </xf>
    <xf numFmtId="16" fontId="38" fillId="0" borderId="8" xfId="2" applyNumberFormat="1" applyFont="1" applyBorder="1" applyProtection="1"/>
    <xf numFmtId="0" fontId="38" fillId="0" borderId="8" xfId="0" applyFont="1" applyBorder="1" applyAlignment="1">
      <alignment horizontal="center"/>
    </xf>
    <xf numFmtId="0" fontId="38" fillId="0" borderId="8" xfId="0" applyFont="1" applyBorder="1"/>
    <xf numFmtId="0" fontId="38" fillId="0" borderId="8" xfId="2" applyNumberFormat="1" applyFont="1" applyBorder="1" applyProtection="1"/>
    <xf numFmtId="0" fontId="2" fillId="0" borderId="5" xfId="2" applyNumberFormat="1" applyFont="1" applyBorder="1" applyProtection="1"/>
    <xf numFmtId="0" fontId="2" fillId="0" borderId="0" xfId="2" applyNumberFormat="1" applyFont="1" applyBorder="1" applyProtection="1"/>
    <xf numFmtId="0" fontId="2" fillId="0" borderId="6" xfId="2" applyNumberFormat="1" applyFont="1" applyBorder="1" applyProtection="1"/>
    <xf numFmtId="0" fontId="37" fillId="0" borderId="0" xfId="0" applyFont="1" applyAlignment="1">
      <alignment horizontal="center"/>
    </xf>
    <xf numFmtId="0" fontId="2" fillId="0" borderId="5" xfId="0" applyFont="1" applyBorder="1" applyAlignment="1" applyProtection="1">
      <alignment horizontal="left"/>
      <protection locked="0"/>
    </xf>
    <xf numFmtId="0" fontId="2" fillId="0" borderId="0" xfId="0" applyFont="1" applyAlignment="1" applyProtection="1">
      <alignment horizontal="left"/>
      <protection locked="0"/>
    </xf>
    <xf numFmtId="0" fontId="2" fillId="0" borderId="6" xfId="0" applyFont="1" applyBorder="1" applyAlignment="1" applyProtection="1">
      <alignment horizontal="left"/>
      <protection locked="0"/>
    </xf>
    <xf numFmtId="168" fontId="2" fillId="0" borderId="0" xfId="2" applyNumberFormat="1" applyFont="1" applyProtection="1"/>
    <xf numFmtId="14" fontId="2" fillId="0" borderId="1" xfId="2" applyNumberFormat="1" applyFont="1" applyBorder="1" applyProtection="1"/>
    <xf numFmtId="44" fontId="3" fillId="0" borderId="0" xfId="2" applyFont="1"/>
    <xf numFmtId="0" fontId="5" fillId="7" borderId="0" xfId="3" applyFill="1"/>
    <xf numFmtId="0" fontId="38" fillId="0" borderId="0" xfId="0" applyFont="1"/>
    <xf numFmtId="0" fontId="3" fillId="0" borderId="0" xfId="0" applyFont="1" applyAlignment="1">
      <alignment horizontal="center"/>
    </xf>
    <xf numFmtId="164" fontId="2" fillId="0" borderId="0" xfId="0" applyNumberFormat="1" applyFont="1" applyAlignment="1">
      <alignment horizontal="left"/>
    </xf>
    <xf numFmtId="44" fontId="3" fillId="0" borderId="0" xfId="2" applyFont="1" applyProtection="1">
      <protection locked="0"/>
    </xf>
    <xf numFmtId="0" fontId="40" fillId="0" borderId="0" xfId="0" applyFont="1"/>
    <xf numFmtId="166" fontId="15" fillId="3" borderId="7" xfId="0" applyNumberFormat="1" applyFont="1" applyFill="1" applyBorder="1" applyAlignment="1" applyProtection="1">
      <alignment horizontal="center"/>
      <protection locked="0"/>
    </xf>
    <xf numFmtId="0" fontId="2" fillId="0" borderId="8" xfId="0" applyFont="1" applyBorder="1" applyAlignment="1" applyProtection="1">
      <alignment horizontal="left"/>
      <protection locked="0"/>
    </xf>
    <xf numFmtId="0" fontId="2" fillId="0" borderId="8" xfId="0" applyFont="1" applyBorder="1" applyAlignment="1" applyProtection="1">
      <alignment horizontal="center"/>
      <protection locked="0"/>
    </xf>
    <xf numFmtId="0" fontId="2" fillId="0" borderId="8" xfId="0" applyFont="1" applyBorder="1" applyProtection="1">
      <protection locked="0"/>
    </xf>
    <xf numFmtId="0" fontId="2" fillId="0" borderId="8" xfId="2" applyNumberFormat="1" applyFont="1" applyBorder="1" applyProtection="1"/>
    <xf numFmtId="0" fontId="2" fillId="0" borderId="8" xfId="2" applyNumberFormat="1" applyFont="1" applyBorder="1" applyProtection="1">
      <protection locked="0"/>
    </xf>
    <xf numFmtId="44" fontId="2" fillId="0" borderId="8" xfId="2" applyFont="1" applyBorder="1" applyProtection="1"/>
    <xf numFmtId="44" fontId="2" fillId="0" borderId="8" xfId="2" applyFont="1" applyBorder="1" applyProtection="1">
      <protection locked="0"/>
    </xf>
    <xf numFmtId="44" fontId="2" fillId="0" borderId="9" xfId="0" applyNumberFormat="1" applyFont="1" applyBorder="1"/>
    <xf numFmtId="166" fontId="2" fillId="0" borderId="0" xfId="0" applyNumberFormat="1" applyFont="1" applyAlignment="1" applyProtection="1">
      <alignment horizontal="left" vertical="top"/>
      <protection locked="0"/>
    </xf>
    <xf numFmtId="14" fontId="5" fillId="6" borderId="11" xfId="3" applyNumberFormat="1" applyFill="1" applyBorder="1" applyProtection="1">
      <protection locked="0"/>
    </xf>
    <xf numFmtId="166" fontId="4" fillId="0" borderId="0" xfId="0" applyNumberFormat="1" applyFont="1" applyAlignment="1">
      <alignment horizontal="center"/>
    </xf>
    <xf numFmtId="44" fontId="38" fillId="0" borderId="0" xfId="0" applyNumberFormat="1" applyFont="1"/>
    <xf numFmtId="44" fontId="53" fillId="0" borderId="0" xfId="0" applyNumberFormat="1" applyFont="1"/>
    <xf numFmtId="164" fontId="20" fillId="6" borderId="2" xfId="3" applyNumberFormat="1" applyFont="1" applyFill="1" applyBorder="1"/>
    <xf numFmtId="164" fontId="20" fillId="6" borderId="44" xfId="3" applyNumberFormat="1" applyFont="1" applyFill="1" applyBorder="1"/>
    <xf numFmtId="43" fontId="5" fillId="5" borderId="4" xfId="1" applyFont="1" applyFill="1" applyBorder="1" applyProtection="1"/>
    <xf numFmtId="0" fontId="29" fillId="0" borderId="0" xfId="3" applyFont="1" applyAlignment="1">
      <alignment horizontal="left"/>
    </xf>
    <xf numFmtId="0" fontId="20" fillId="6" borderId="4" xfId="3" applyFont="1" applyFill="1" applyBorder="1" applyAlignment="1">
      <alignment horizontal="center"/>
    </xf>
    <xf numFmtId="0" fontId="20" fillId="0" borderId="49" xfId="3" applyFont="1" applyBorder="1" applyAlignment="1">
      <alignment horizontal="right"/>
    </xf>
    <xf numFmtId="0" fontId="20" fillId="0" borderId="56" xfId="3" applyFont="1" applyBorder="1" applyAlignment="1">
      <alignment horizontal="right"/>
    </xf>
    <xf numFmtId="0" fontId="20" fillId="0" borderId="45" xfId="3" applyFont="1" applyBorder="1" applyAlignment="1">
      <alignment horizontal="right"/>
    </xf>
    <xf numFmtId="0" fontId="20" fillId="0" borderId="1" xfId="3" applyFont="1" applyBorder="1" applyAlignment="1">
      <alignment horizontal="right"/>
    </xf>
    <xf numFmtId="0" fontId="20" fillId="0" borderId="10" xfId="3" applyFont="1" applyBorder="1" applyAlignment="1">
      <alignment horizontal="right"/>
    </xf>
    <xf numFmtId="0" fontId="20" fillId="6" borderId="57" xfId="3" applyFont="1" applyFill="1" applyBorder="1"/>
    <xf numFmtId="0" fontId="20" fillId="6" borderId="2" xfId="3" applyFont="1" applyFill="1" applyBorder="1" applyAlignment="1">
      <alignment horizontal="center"/>
    </xf>
    <xf numFmtId="0" fontId="20" fillId="6" borderId="52" xfId="3" applyFont="1" applyFill="1" applyBorder="1" applyAlignment="1">
      <alignment horizontal="center"/>
    </xf>
    <xf numFmtId="0" fontId="20" fillId="6" borderId="4" xfId="3" applyFont="1" applyFill="1" applyBorder="1" applyAlignment="1">
      <alignment horizontal="center" wrapText="1"/>
    </xf>
    <xf numFmtId="0" fontId="20" fillId="0" borderId="52" xfId="3" applyFont="1" applyBorder="1" applyAlignment="1">
      <alignment vertical="center" wrapText="1"/>
    </xf>
    <xf numFmtId="0" fontId="17" fillId="5" borderId="25" xfId="3" applyFont="1" applyFill="1" applyBorder="1" applyAlignment="1">
      <alignment horizontal="center"/>
    </xf>
    <xf numFmtId="0" fontId="17" fillId="5" borderId="25" xfId="3" applyFont="1" applyFill="1" applyBorder="1" applyAlignment="1">
      <alignment horizontal="centerContinuous"/>
    </xf>
    <xf numFmtId="0" fontId="17" fillId="5" borderId="28" xfId="3" applyFont="1" applyFill="1" applyBorder="1" applyAlignment="1">
      <alignment horizontal="centerContinuous"/>
    </xf>
    <xf numFmtId="0" fontId="17" fillId="5" borderId="28" xfId="3" applyFont="1" applyFill="1" applyBorder="1" applyAlignment="1">
      <alignment horizontal="center"/>
    </xf>
    <xf numFmtId="0" fontId="17" fillId="5" borderId="25" xfId="3" applyFont="1" applyFill="1" applyBorder="1" applyAlignment="1">
      <alignment horizontal="center" wrapText="1"/>
    </xf>
    <xf numFmtId="0" fontId="17" fillId="5" borderId="4" xfId="3" applyFont="1" applyFill="1" applyBorder="1" applyAlignment="1">
      <alignment horizontal="center" wrapText="1"/>
    </xf>
    <xf numFmtId="0" fontId="17" fillId="5" borderId="26" xfId="3" applyFont="1" applyFill="1" applyBorder="1" applyAlignment="1">
      <alignment horizontal="center" wrapText="1"/>
    </xf>
    <xf numFmtId="0" fontId="17" fillId="5" borderId="52" xfId="3" applyFont="1" applyFill="1" applyBorder="1" applyAlignment="1">
      <alignment horizontal="center"/>
    </xf>
    <xf numFmtId="14" fontId="16" fillId="0" borderId="10" xfId="3" applyNumberFormat="1" applyFont="1" applyBorder="1"/>
    <xf numFmtId="164" fontId="16" fillId="0" borderId="10" xfId="3" applyNumberFormat="1" applyFont="1" applyBorder="1"/>
    <xf numFmtId="165" fontId="16" fillId="0" borderId="51" xfId="1" applyNumberFormat="1" applyFont="1" applyBorder="1" applyProtection="1"/>
    <xf numFmtId="43" fontId="16" fillId="0" borderId="11" xfId="1" applyFont="1" applyBorder="1" applyAlignment="1" applyProtection="1">
      <alignment horizontal="right"/>
    </xf>
    <xf numFmtId="43" fontId="16" fillId="0" borderId="1" xfId="1" applyFont="1" applyBorder="1" applyProtection="1"/>
    <xf numFmtId="43" fontId="16" fillId="0" borderId="10" xfId="1" applyFont="1" applyBorder="1" applyProtection="1"/>
    <xf numFmtId="43" fontId="5" fillId="0" borderId="46" xfId="1" applyFont="1" applyBorder="1" applyProtection="1"/>
    <xf numFmtId="43" fontId="16" fillId="0" borderId="46" xfId="1" applyFont="1" applyBorder="1" applyProtection="1"/>
    <xf numFmtId="0" fontId="5" fillId="0" borderId="0" xfId="3" applyAlignment="1">
      <alignment wrapText="1"/>
    </xf>
    <xf numFmtId="43" fontId="16" fillId="0" borderId="44" xfId="1" applyFont="1" applyBorder="1" applyAlignment="1" applyProtection="1">
      <alignment horizontal="right"/>
    </xf>
    <xf numFmtId="43" fontId="5" fillId="0" borderId="43" xfId="1" applyFont="1" applyBorder="1" applyProtection="1"/>
    <xf numFmtId="43" fontId="16" fillId="0" borderId="51" xfId="1" applyFont="1" applyBorder="1" applyProtection="1"/>
    <xf numFmtId="43" fontId="16" fillId="0" borderId="43" xfId="1" applyFont="1" applyBorder="1" applyProtection="1"/>
    <xf numFmtId="0" fontId="23" fillId="0" borderId="0" xfId="4" applyProtection="1"/>
    <xf numFmtId="14" fontId="16" fillId="0" borderId="12" xfId="3" applyNumberFormat="1" applyFont="1" applyBorder="1"/>
    <xf numFmtId="164" fontId="16" fillId="0" borderId="12" xfId="3" applyNumberFormat="1" applyFont="1" applyBorder="1"/>
    <xf numFmtId="165" fontId="16" fillId="0" borderId="50" xfId="1" applyNumberFormat="1" applyFont="1" applyBorder="1" applyProtection="1"/>
    <xf numFmtId="43" fontId="16" fillId="0" borderId="29" xfId="1" applyFont="1" applyBorder="1" applyAlignment="1" applyProtection="1">
      <alignment horizontal="right"/>
    </xf>
    <xf numFmtId="43" fontId="16" fillId="0" borderId="0" xfId="1" applyFont="1" applyBorder="1" applyProtection="1"/>
    <xf numFmtId="43" fontId="16" fillId="0" borderId="12" xfId="1" applyFont="1" applyBorder="1" applyProtection="1"/>
    <xf numFmtId="43" fontId="5" fillId="0" borderId="42" xfId="1" applyFont="1" applyBorder="1" applyProtection="1"/>
    <xf numFmtId="43" fontId="16" fillId="0" borderId="27" xfId="1" applyFont="1" applyBorder="1" applyProtection="1"/>
    <xf numFmtId="43" fontId="16" fillId="0" borderId="42" xfId="1" applyFont="1" applyBorder="1" applyProtection="1"/>
    <xf numFmtId="43" fontId="5" fillId="5" borderId="25" xfId="1" applyFont="1" applyFill="1" applyBorder="1" applyProtection="1"/>
    <xf numFmtId="14" fontId="5" fillId="5" borderId="25" xfId="3" applyNumberFormat="1" applyFill="1" applyBorder="1"/>
    <xf numFmtId="0" fontId="5" fillId="5" borderId="28" xfId="3" applyFill="1" applyBorder="1"/>
    <xf numFmtId="0" fontId="20" fillId="5" borderId="17" xfId="3" applyFont="1" applyFill="1" applyBorder="1"/>
    <xf numFmtId="0" fontId="5" fillId="5" borderId="17" xfId="3" applyFill="1" applyBorder="1"/>
    <xf numFmtId="43" fontId="5" fillId="5" borderId="50" xfId="1" applyFont="1" applyFill="1" applyBorder="1" applyProtection="1"/>
    <xf numFmtId="43" fontId="5" fillId="5" borderId="0" xfId="1" applyFont="1" applyFill="1" applyProtection="1"/>
    <xf numFmtId="43" fontId="5" fillId="5" borderId="13" xfId="1" applyFont="1" applyFill="1" applyBorder="1" applyProtection="1"/>
    <xf numFmtId="43" fontId="5" fillId="5" borderId="12" xfId="1" applyFont="1" applyFill="1" applyBorder="1" applyProtection="1"/>
    <xf numFmtId="0" fontId="26" fillId="0" borderId="25" xfId="3" applyFont="1" applyBorder="1" applyAlignment="1">
      <alignment horizontal="center" wrapText="1"/>
    </xf>
    <xf numFmtId="0" fontId="16" fillId="0" borderId="8" xfId="3" applyFont="1" applyBorder="1"/>
    <xf numFmtId="0" fontId="16" fillId="0" borderId="0" xfId="3" applyFont="1" applyAlignment="1">
      <alignment horizontal="left" vertical="center" wrapText="1"/>
    </xf>
    <xf numFmtId="0" fontId="17" fillId="5" borderId="4" xfId="3" applyFont="1" applyFill="1" applyBorder="1" applyAlignment="1">
      <alignment horizontal="center"/>
    </xf>
    <xf numFmtId="0" fontId="17" fillId="5" borderId="18" xfId="3" applyFont="1" applyFill="1" applyBorder="1" applyAlignment="1">
      <alignment horizontal="center"/>
    </xf>
    <xf numFmtId="0" fontId="17" fillId="5" borderId="4" xfId="3" applyFont="1" applyFill="1" applyBorder="1" applyAlignment="1">
      <alignment horizontal="centerContinuous"/>
    </xf>
    <xf numFmtId="14" fontId="16" fillId="0" borderId="46" xfId="3" applyNumberFormat="1" applyFont="1" applyBorder="1"/>
    <xf numFmtId="39" fontId="16" fillId="0" borderId="47" xfId="3" applyNumberFormat="1" applyFont="1" applyBorder="1"/>
    <xf numFmtId="0" fontId="16" fillId="0" borderId="46" xfId="3" applyFont="1" applyBorder="1"/>
    <xf numFmtId="39" fontId="16" fillId="0" borderId="46" xfId="3" applyNumberFormat="1" applyFont="1" applyBorder="1"/>
    <xf numFmtId="14" fontId="16" fillId="0" borderId="43" xfId="3" applyNumberFormat="1" applyFont="1" applyBorder="1"/>
    <xf numFmtId="39" fontId="16" fillId="0" borderId="44" xfId="3" applyNumberFormat="1" applyFont="1" applyBorder="1"/>
    <xf numFmtId="0" fontId="16" fillId="0" borderId="43" xfId="3" applyFont="1" applyBorder="1"/>
    <xf numFmtId="0" fontId="16" fillId="0" borderId="45" xfId="3" applyFont="1" applyBorder="1"/>
    <xf numFmtId="0" fontId="16" fillId="0" borderId="2" xfId="3" applyFont="1" applyBorder="1"/>
    <xf numFmtId="0" fontId="16" fillId="0" borderId="44" xfId="3" applyFont="1" applyBorder="1"/>
    <xf numFmtId="0" fontId="16" fillId="0" borderId="0" xfId="3" applyFont="1" applyAlignment="1">
      <alignment horizontal="left" wrapText="1"/>
    </xf>
    <xf numFmtId="14" fontId="16" fillId="0" borderId="42" xfId="3" applyNumberFormat="1" applyFont="1" applyBorder="1"/>
    <xf numFmtId="39" fontId="16" fillId="0" borderId="29" xfId="3" applyNumberFormat="1" applyFont="1" applyBorder="1"/>
    <xf numFmtId="0" fontId="16" fillId="0" borderId="42" xfId="3" applyFont="1" applyBorder="1"/>
    <xf numFmtId="0" fontId="16" fillId="0" borderId="31" xfId="3" applyFont="1" applyBorder="1"/>
    <xf numFmtId="0" fontId="16" fillId="0" borderId="30" xfId="3" applyFont="1" applyBorder="1"/>
    <xf numFmtId="0" fontId="16" fillId="0" borderId="29" xfId="3" applyFont="1" applyBorder="1"/>
    <xf numFmtId="39" fontId="16" fillId="0" borderId="42" xfId="3" applyNumberFormat="1" applyFont="1" applyBorder="1"/>
    <xf numFmtId="43" fontId="5" fillId="4" borderId="4" xfId="1" applyFont="1" applyFill="1" applyBorder="1" applyProtection="1"/>
    <xf numFmtId="39" fontId="20" fillId="4" borderId="4" xfId="3" applyNumberFormat="1" applyFont="1" applyFill="1" applyBorder="1"/>
    <xf numFmtId="49" fontId="21" fillId="4" borderId="41" xfId="3" applyNumberFormat="1" applyFont="1" applyFill="1" applyBorder="1" applyAlignment="1">
      <alignment vertical="center"/>
    </xf>
    <xf numFmtId="49" fontId="21" fillId="4" borderId="39" xfId="3" applyNumberFormat="1" applyFont="1" applyFill="1" applyBorder="1" applyAlignment="1">
      <alignment vertical="center"/>
    </xf>
    <xf numFmtId="49" fontId="21" fillId="4" borderId="36" xfId="3" applyNumberFormat="1" applyFont="1" applyFill="1" applyBorder="1" applyAlignment="1">
      <alignment vertical="center"/>
    </xf>
    <xf numFmtId="49" fontId="17" fillId="0" borderId="8" xfId="3" applyNumberFormat="1" applyFont="1" applyBorder="1" applyAlignment="1">
      <alignment vertical="center"/>
    </xf>
    <xf numFmtId="49" fontId="17" fillId="0" borderId="0" xfId="3" applyNumberFormat="1" applyFont="1" applyAlignment="1">
      <alignment vertical="center"/>
    </xf>
    <xf numFmtId="0" fontId="16" fillId="0" borderId="17" xfId="3" applyFont="1" applyBorder="1"/>
    <xf numFmtId="0" fontId="5" fillId="6" borderId="12" xfId="3" applyFill="1" applyBorder="1" applyAlignment="1">
      <alignment horizontal="left" wrapText="1"/>
    </xf>
    <xf numFmtId="0" fontId="5" fillId="6" borderId="0" xfId="3" applyFill="1" applyAlignment="1">
      <alignment horizontal="left" wrapText="1"/>
    </xf>
    <xf numFmtId="0" fontId="5" fillId="6" borderId="13" xfId="3" applyFill="1" applyBorder="1"/>
    <xf numFmtId="0" fontId="5" fillId="6" borderId="33" xfId="3" applyFill="1" applyBorder="1"/>
    <xf numFmtId="0" fontId="5" fillId="6" borderId="32" xfId="3" applyFill="1" applyBorder="1"/>
    <xf numFmtId="0" fontId="5" fillId="6" borderId="1" xfId="3" applyFill="1" applyBorder="1"/>
    <xf numFmtId="0" fontId="18" fillId="6" borderId="12" xfId="3" applyFont="1" applyFill="1" applyBorder="1" applyAlignment="1">
      <alignment horizontal="left"/>
    </xf>
    <xf numFmtId="0" fontId="5" fillId="6" borderId="0" xfId="3" applyFill="1" applyAlignment="1">
      <alignment horizontal="centerContinuous"/>
    </xf>
    <xf numFmtId="0" fontId="18" fillId="6" borderId="13" xfId="3" applyFont="1" applyFill="1" applyBorder="1" applyAlignment="1">
      <alignment horizontal="centerContinuous"/>
    </xf>
    <xf numFmtId="0" fontId="5" fillId="0" borderId="0" xfId="3" applyAlignment="1">
      <alignment horizontal="left" wrapText="1"/>
    </xf>
    <xf numFmtId="0" fontId="5" fillId="6" borderId="12" xfId="3" applyFill="1" applyBorder="1"/>
    <xf numFmtId="0" fontId="19" fillId="6" borderId="10" xfId="3" applyFont="1" applyFill="1" applyBorder="1"/>
    <xf numFmtId="0" fontId="18" fillId="6" borderId="29" xfId="3" applyFont="1" applyFill="1" applyBorder="1" applyAlignment="1">
      <alignment horizontal="centerContinuous"/>
    </xf>
    <xf numFmtId="0" fontId="5" fillId="0" borderId="0" xfId="3" applyAlignment="1">
      <alignment horizontal="centerContinuous"/>
    </xf>
    <xf numFmtId="0" fontId="5" fillId="0" borderId="0" xfId="3" applyAlignment="1">
      <alignment horizontal="left"/>
    </xf>
    <xf numFmtId="0" fontId="19" fillId="0" borderId="0" xfId="3" applyFont="1"/>
    <xf numFmtId="0" fontId="18" fillId="6" borderId="12" xfId="3" applyFont="1" applyFill="1" applyBorder="1" applyAlignment="1">
      <alignment vertical="top" wrapText="1"/>
    </xf>
    <xf numFmtId="0" fontId="18" fillId="6" borderId="0" xfId="3" applyFont="1" applyFill="1" applyAlignment="1">
      <alignment vertical="top" wrapText="1"/>
    </xf>
    <xf numFmtId="0" fontId="18" fillId="6" borderId="13" xfId="3" applyFont="1" applyFill="1" applyBorder="1" applyAlignment="1">
      <alignment vertical="top" wrapText="1"/>
    </xf>
    <xf numFmtId="0" fontId="5" fillId="6" borderId="10" xfId="3" applyFill="1" applyBorder="1"/>
    <xf numFmtId="0" fontId="18" fillId="6" borderId="16" xfId="3" applyFont="1" applyFill="1" applyBorder="1"/>
    <xf numFmtId="0" fontId="5" fillId="6" borderId="17" xfId="3" applyFill="1" applyBorder="1"/>
    <xf numFmtId="0" fontId="18" fillId="6" borderId="18" xfId="3" applyFont="1" applyFill="1" applyBorder="1" applyAlignment="1">
      <alignment horizontal="center"/>
    </xf>
    <xf numFmtId="0" fontId="5" fillId="6" borderId="17" xfId="3" applyFill="1" applyBorder="1" applyAlignment="1">
      <alignment horizontal="center"/>
    </xf>
    <xf numFmtId="0" fontId="17" fillId="5" borderId="27" xfId="3" applyFont="1" applyFill="1" applyBorder="1" applyAlignment="1">
      <alignment horizontal="center" wrapText="1"/>
    </xf>
    <xf numFmtId="49" fontId="16" fillId="4" borderId="4" xfId="3" applyNumberFormat="1" applyFont="1" applyFill="1" applyBorder="1" applyAlignment="1">
      <alignment horizontal="center"/>
    </xf>
    <xf numFmtId="43" fontId="16" fillId="4" borderId="4" xfId="6" applyFont="1" applyFill="1" applyBorder="1" applyProtection="1"/>
    <xf numFmtId="43" fontId="16" fillId="4" borderId="4" xfId="6" applyFont="1" applyFill="1" applyBorder="1" applyAlignment="1" applyProtection="1">
      <alignment horizontal="center"/>
    </xf>
    <xf numFmtId="49" fontId="16" fillId="4" borderId="25" xfId="3" applyNumberFormat="1" applyFont="1" applyFill="1" applyBorder="1" applyAlignment="1">
      <alignment horizontal="center"/>
    </xf>
    <xf numFmtId="0" fontId="5" fillId="4" borderId="4" xfId="3" applyFill="1" applyBorder="1"/>
    <xf numFmtId="39" fontId="16" fillId="4" borderId="4" xfId="3" applyNumberFormat="1" applyFont="1" applyFill="1" applyBorder="1"/>
    <xf numFmtId="39" fontId="16" fillId="4" borderId="25" xfId="3" applyNumberFormat="1" applyFont="1" applyFill="1" applyBorder="1"/>
    <xf numFmtId="14" fontId="16" fillId="0" borderId="10" xfId="0" applyNumberFormat="1" applyFont="1" applyBorder="1"/>
    <xf numFmtId="49" fontId="16" fillId="0" borderId="10" xfId="0" applyNumberFormat="1" applyFont="1" applyBorder="1"/>
    <xf numFmtId="0" fontId="5" fillId="0" borderId="0" xfId="0" applyFont="1"/>
    <xf numFmtId="14" fontId="16" fillId="0" borderId="12" xfId="0" applyNumberFormat="1" applyFont="1" applyBorder="1"/>
    <xf numFmtId="49" fontId="16" fillId="0" borderId="12" xfId="0" applyNumberFormat="1" applyFont="1" applyBorder="1"/>
    <xf numFmtId="43" fontId="16" fillId="0" borderId="60" xfId="1" applyFont="1" applyBorder="1" applyAlignment="1" applyProtection="1">
      <alignment horizontal="right"/>
    </xf>
    <xf numFmtId="43" fontId="5" fillId="0" borderId="61" xfId="1" applyFont="1" applyBorder="1" applyProtection="1"/>
    <xf numFmtId="43" fontId="16" fillId="0" borderId="50" xfId="1" applyFont="1" applyBorder="1" applyProtection="1"/>
    <xf numFmtId="43" fontId="16" fillId="0" borderId="61" xfId="1" applyFont="1" applyBorder="1" applyProtection="1"/>
    <xf numFmtId="14" fontId="5" fillId="5" borderId="25" xfId="0" applyNumberFormat="1" applyFont="1" applyFill="1" applyBorder="1"/>
    <xf numFmtId="0" fontId="5" fillId="5" borderId="28" xfId="0" applyFont="1" applyFill="1" applyBorder="1"/>
    <xf numFmtId="0" fontId="20" fillId="5" borderId="28" xfId="0" applyFont="1" applyFill="1" applyBorder="1"/>
    <xf numFmtId="43" fontId="5" fillId="5" borderId="28" xfId="1" applyFont="1" applyFill="1" applyBorder="1" applyProtection="1"/>
    <xf numFmtId="43" fontId="5" fillId="5" borderId="26" xfId="1" applyFont="1" applyFill="1" applyBorder="1" applyProtection="1"/>
    <xf numFmtId="0" fontId="16" fillId="0" borderId="8" xfId="0" applyFont="1" applyBorder="1"/>
    <xf numFmtId="0" fontId="17" fillId="5" borderId="4" xfId="0" applyFont="1" applyFill="1" applyBorder="1" applyAlignment="1">
      <alignment horizontal="center"/>
    </xf>
    <xf numFmtId="0" fontId="17" fillId="5" borderId="18" xfId="0" applyFont="1" applyFill="1" applyBorder="1" applyAlignment="1">
      <alignment horizontal="center"/>
    </xf>
    <xf numFmtId="0" fontId="16" fillId="0" borderId="0" xfId="0" applyFont="1"/>
    <xf numFmtId="0" fontId="17" fillId="5" borderId="4" xfId="0" applyFont="1" applyFill="1" applyBorder="1" applyAlignment="1">
      <alignment horizontal="centerContinuous"/>
    </xf>
    <xf numFmtId="14" fontId="16" fillId="0" borderId="46" xfId="0" applyNumberFormat="1" applyFont="1" applyBorder="1"/>
    <xf numFmtId="39" fontId="16" fillId="0" borderId="47" xfId="0" applyNumberFormat="1" applyFont="1" applyBorder="1"/>
    <xf numFmtId="0" fontId="16" fillId="0" borderId="46" xfId="0" applyFont="1" applyBorder="1"/>
    <xf numFmtId="39" fontId="16" fillId="0" borderId="46" xfId="0" applyNumberFormat="1" applyFont="1" applyBorder="1"/>
    <xf numFmtId="14" fontId="16" fillId="0" borderId="51" xfId="0" applyNumberFormat="1" applyFont="1" applyBorder="1"/>
    <xf numFmtId="39" fontId="16" fillId="0" borderId="11" xfId="0" applyNumberFormat="1" applyFont="1" applyBorder="1"/>
    <xf numFmtId="0" fontId="16" fillId="0" borderId="51" xfId="0" applyFont="1" applyBorder="1"/>
    <xf numFmtId="0" fontId="16" fillId="0" borderId="45" xfId="0" applyFont="1" applyBorder="1" applyAlignment="1">
      <alignment horizontal="left"/>
    </xf>
    <xf numFmtId="0" fontId="16" fillId="0" borderId="2" xfId="0" applyFont="1" applyBorder="1" applyAlignment="1">
      <alignment horizontal="left"/>
    </xf>
    <xf numFmtId="0" fontId="16" fillId="0" borderId="44" xfId="0" applyFont="1" applyBorder="1" applyAlignment="1">
      <alignment horizontal="left"/>
    </xf>
    <xf numFmtId="39" fontId="16" fillId="0" borderId="51" xfId="0" applyNumberFormat="1" applyFont="1" applyBorder="1"/>
    <xf numFmtId="14" fontId="16" fillId="0" borderId="43" xfId="0" applyNumberFormat="1" applyFont="1" applyBorder="1"/>
    <xf numFmtId="39" fontId="16" fillId="0" borderId="44" xfId="0" applyNumberFormat="1" applyFont="1" applyBorder="1"/>
    <xf numFmtId="0" fontId="16" fillId="0" borderId="43" xfId="0" applyFont="1" applyBorder="1"/>
    <xf numFmtId="14" fontId="16" fillId="0" borderId="42" xfId="0" applyNumberFormat="1" applyFont="1" applyBorder="1"/>
    <xf numFmtId="39" fontId="16" fillId="0" borderId="29" xfId="0" applyNumberFormat="1" applyFont="1" applyBorder="1"/>
    <xf numFmtId="0" fontId="16" fillId="0" borderId="42" xfId="0" applyFont="1" applyBorder="1"/>
    <xf numFmtId="0" fontId="5" fillId="6" borderId="1" xfId="3" applyFill="1" applyBorder="1" applyProtection="1">
      <protection locked="0"/>
    </xf>
    <xf numFmtId="0" fontId="5" fillId="6" borderId="11" xfId="3" applyFill="1" applyBorder="1" applyProtection="1">
      <protection locked="0"/>
    </xf>
    <xf numFmtId="0" fontId="5" fillId="6" borderId="0" xfId="3" applyFill="1" applyProtection="1">
      <protection locked="0"/>
    </xf>
    <xf numFmtId="0" fontId="5" fillId="6" borderId="13" xfId="3" applyFill="1" applyBorder="1" applyProtection="1">
      <protection locked="0"/>
    </xf>
    <xf numFmtId="170" fontId="20" fillId="6" borderId="18" xfId="3" applyNumberFormat="1" applyFont="1" applyFill="1" applyBorder="1"/>
    <xf numFmtId="0" fontId="55" fillId="0" borderId="0" xfId="0" applyFont="1"/>
    <xf numFmtId="0" fontId="55" fillId="0" borderId="0" xfId="0" applyFont="1" applyAlignment="1">
      <alignment horizontal="left"/>
    </xf>
    <xf numFmtId="0" fontId="56" fillId="0" borderId="0" xfId="0" applyFont="1"/>
    <xf numFmtId="44" fontId="3" fillId="0" borderId="0" xfId="0" applyNumberFormat="1" applyFont="1"/>
    <xf numFmtId="167" fontId="2" fillId="0" borderId="0" xfId="1" applyNumberFormat="1" applyFont="1" applyProtection="1"/>
    <xf numFmtId="44" fontId="3" fillId="0" borderId="13" xfId="2" applyFont="1" applyBorder="1" applyProtection="1">
      <protection locked="0"/>
    </xf>
    <xf numFmtId="44" fontId="3" fillId="0" borderId="13" xfId="2" applyFont="1" applyBorder="1"/>
    <xf numFmtId="167" fontId="3" fillId="0" borderId="13" xfId="1" applyNumberFormat="1" applyFont="1" applyBorder="1"/>
    <xf numFmtId="0" fontId="6" fillId="0" borderId="7" xfId="0" applyFont="1" applyBorder="1"/>
    <xf numFmtId="0" fontId="9" fillId="0" borderId="0" xfId="0" applyFont="1"/>
    <xf numFmtId="44" fontId="3" fillId="0" borderId="0" xfId="2" applyFont="1" applyProtection="1"/>
    <xf numFmtId="0" fontId="6" fillId="0" borderId="17" xfId="0" applyFont="1" applyBorder="1"/>
    <xf numFmtId="168" fontId="3" fillId="0" borderId="18" xfId="2" applyNumberFormat="1" applyFont="1" applyBorder="1"/>
    <xf numFmtId="0" fontId="0" fillId="0" borderId="0" xfId="0" applyAlignment="1">
      <alignment horizontal="left"/>
    </xf>
    <xf numFmtId="14" fontId="0" fillId="0" borderId="0" xfId="0" applyNumberFormat="1"/>
    <xf numFmtId="0" fontId="7" fillId="0" borderId="1" xfId="0" applyFont="1" applyBorder="1" applyAlignment="1" applyProtection="1">
      <alignment horizontal="center"/>
      <protection locked="0"/>
    </xf>
    <xf numFmtId="0" fontId="4" fillId="0" borderId="0" xfId="0" applyFont="1" applyAlignment="1">
      <alignment horizontal="center"/>
    </xf>
    <xf numFmtId="0" fontId="6" fillId="0" borderId="0" xfId="0" applyFont="1" applyAlignment="1">
      <alignment horizontal="center"/>
    </xf>
    <xf numFmtId="0" fontId="7" fillId="0" borderId="1" xfId="0" applyFont="1" applyBorder="1" applyAlignment="1" applyProtection="1">
      <alignment horizontal="left"/>
      <protection locked="0"/>
    </xf>
    <xf numFmtId="0" fontId="8" fillId="0" borderId="0" xfId="0" applyFont="1" applyAlignment="1">
      <alignment horizontal="left"/>
    </xf>
    <xf numFmtId="0" fontId="6" fillId="0" borderId="0" xfId="0" applyFont="1" applyAlignment="1">
      <alignment horizontal="left"/>
    </xf>
    <xf numFmtId="0" fontId="7" fillId="0" borderId="1" xfId="0" applyFont="1" applyBorder="1" applyAlignment="1">
      <alignment horizontal="left"/>
    </xf>
    <xf numFmtId="0" fontId="3" fillId="0" borderId="12" xfId="0" applyFont="1" applyBorder="1" applyAlignment="1">
      <alignment horizontal="left" vertical="top"/>
    </xf>
    <xf numFmtId="0" fontId="3" fillId="0" borderId="16" xfId="0" applyFont="1" applyBorder="1" applyAlignment="1">
      <alignment horizontal="left" vertical="top"/>
    </xf>
    <xf numFmtId="44" fontId="3" fillId="0" borderId="0" xfId="2" applyFont="1" applyBorder="1" applyAlignment="1">
      <alignment horizontal="left" vertical="top"/>
    </xf>
    <xf numFmtId="44" fontId="3" fillId="0" borderId="17" xfId="2" applyFont="1" applyBorder="1" applyAlignment="1">
      <alignment horizontal="left" vertical="top"/>
    </xf>
    <xf numFmtId="0" fontId="3" fillId="0" borderId="0" xfId="0" applyFont="1" applyAlignment="1">
      <alignment horizontal="left" vertical="top" wrapText="1"/>
    </xf>
    <xf numFmtId="0" fontId="3" fillId="0" borderId="0" xfId="0" applyFont="1" applyAlignment="1" applyProtection="1">
      <alignment horizontal="left" vertical="top" wrapText="1"/>
      <protection locked="0"/>
    </xf>
    <xf numFmtId="16" fontId="7" fillId="0" borderId="1" xfId="0" applyNumberFormat="1" applyFont="1" applyBorder="1" applyAlignment="1" applyProtection="1">
      <alignment horizontal="center"/>
      <protection locked="0"/>
    </xf>
    <xf numFmtId="0" fontId="3" fillId="0" borderId="0" xfId="0" applyFont="1" applyAlignment="1" applyProtection="1">
      <alignment horizontal="left"/>
      <protection locked="0"/>
    </xf>
    <xf numFmtId="164" fontId="3" fillId="0" borderId="1"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protection locked="0"/>
    </xf>
    <xf numFmtId="16" fontId="7" fillId="0" borderId="1" xfId="0" applyNumberFormat="1" applyFont="1" applyBorder="1" applyAlignment="1" applyProtection="1">
      <alignment horizontal="left"/>
      <protection locked="0"/>
    </xf>
    <xf numFmtId="49" fontId="6" fillId="0" borderId="1" xfId="0" applyNumberFormat="1" applyFont="1" applyBorder="1" applyAlignment="1" applyProtection="1">
      <alignment horizontal="center"/>
      <protection locked="0"/>
    </xf>
    <xf numFmtId="0" fontId="3" fillId="0" borderId="1" xfId="0" applyFont="1" applyBorder="1" applyAlignment="1" applyProtection="1">
      <alignment horizontal="left"/>
      <protection locked="0"/>
    </xf>
    <xf numFmtId="14" fontId="7" fillId="0" borderId="1" xfId="0" applyNumberFormat="1" applyFont="1" applyBorder="1" applyAlignment="1" applyProtection="1">
      <alignment horizontal="center"/>
      <protection locked="0"/>
    </xf>
    <xf numFmtId="166" fontId="4" fillId="0" borderId="7" xfId="0" applyNumberFormat="1" applyFont="1" applyBorder="1" applyAlignment="1">
      <alignment horizontal="center"/>
    </xf>
    <xf numFmtId="166" fontId="4" fillId="0" borderId="8" xfId="0" applyNumberFormat="1" applyFont="1" applyBorder="1" applyAlignment="1">
      <alignment horizontal="center"/>
    </xf>
    <xf numFmtId="166" fontId="4" fillId="0" borderId="9" xfId="0" applyNumberFormat="1" applyFont="1" applyBorder="1" applyAlignment="1">
      <alignment horizontal="center"/>
    </xf>
    <xf numFmtId="0" fontId="2" fillId="0" borderId="3" xfId="2" applyNumberFormat="1" applyFont="1" applyBorder="1" applyAlignment="1" applyProtection="1">
      <alignment horizontal="center"/>
    </xf>
    <xf numFmtId="44" fontId="2" fillId="0" borderId="3" xfId="2" applyFont="1" applyBorder="1" applyAlignment="1" applyProtection="1">
      <alignment horizontal="center"/>
    </xf>
    <xf numFmtId="0" fontId="2" fillId="0" borderId="0" xfId="0" applyFont="1" applyAlignment="1">
      <alignment horizontal="center"/>
    </xf>
    <xf numFmtId="166" fontId="2" fillId="0" borderId="12" xfId="0" applyNumberFormat="1" applyFont="1" applyBorder="1" applyAlignment="1" applyProtection="1">
      <alignment horizontal="left" vertical="top"/>
      <protection locked="0"/>
    </xf>
    <xf numFmtId="166" fontId="2" fillId="0" borderId="0" xfId="0" applyNumberFormat="1" applyFont="1" applyAlignment="1" applyProtection="1">
      <alignment horizontal="left" vertical="top"/>
      <protection locked="0"/>
    </xf>
    <xf numFmtId="166" fontId="2" fillId="0" borderId="13" xfId="0" applyNumberFormat="1" applyFont="1" applyBorder="1" applyAlignment="1" applyProtection="1">
      <alignment horizontal="left" vertical="top"/>
      <protection locked="0"/>
    </xf>
    <xf numFmtId="166" fontId="2" fillId="0" borderId="16" xfId="0" applyNumberFormat="1" applyFont="1" applyBorder="1" applyAlignment="1" applyProtection="1">
      <alignment horizontal="left" vertical="top"/>
      <protection locked="0"/>
    </xf>
    <xf numFmtId="166" fontId="2" fillId="0" borderId="17" xfId="0" applyNumberFormat="1" applyFont="1" applyBorder="1" applyAlignment="1" applyProtection="1">
      <alignment horizontal="left" vertical="top"/>
      <protection locked="0"/>
    </xf>
    <xf numFmtId="166" fontId="2" fillId="0" borderId="18" xfId="0" applyNumberFormat="1" applyFont="1" applyBorder="1" applyAlignment="1" applyProtection="1">
      <alignment horizontal="left" vertical="top"/>
      <protection locked="0"/>
    </xf>
    <xf numFmtId="166" fontId="2" fillId="0" borderId="0" xfId="0" applyNumberFormat="1" applyFont="1" applyAlignment="1">
      <alignment horizontal="left" vertical="top" wrapText="1"/>
    </xf>
    <xf numFmtId="49" fontId="16" fillId="0" borderId="45" xfId="0" applyNumberFormat="1" applyFont="1" applyBorder="1" applyAlignment="1">
      <alignment horizontal="left"/>
    </xf>
    <xf numFmtId="49" fontId="16" fillId="0" borderId="2" xfId="0" applyNumberFormat="1" applyFont="1" applyBorder="1" applyAlignment="1">
      <alignment horizontal="left"/>
    </xf>
    <xf numFmtId="49" fontId="16" fillId="0" borderId="44" xfId="0" applyNumberFormat="1" applyFont="1" applyBorder="1" applyAlignment="1">
      <alignment horizontal="left"/>
    </xf>
    <xf numFmtId="0" fontId="16" fillId="0" borderId="49" xfId="0" applyFont="1" applyBorder="1" applyAlignment="1">
      <alignment horizontal="left"/>
    </xf>
    <xf numFmtId="0" fontId="16" fillId="0" borderId="48" xfId="0" applyFont="1" applyBorder="1" applyAlignment="1">
      <alignment horizontal="left"/>
    </xf>
    <xf numFmtId="0" fontId="16" fillId="0" borderId="47" xfId="0" applyFont="1" applyBorder="1" applyAlignment="1">
      <alignment horizontal="left"/>
    </xf>
    <xf numFmtId="0" fontId="17" fillId="5" borderId="25" xfId="0" applyFont="1" applyFill="1" applyBorder="1" applyAlignment="1">
      <alignment horizontal="center"/>
    </xf>
    <xf numFmtId="0" fontId="17" fillId="5" borderId="28" xfId="0" applyFont="1" applyFill="1" applyBorder="1" applyAlignment="1">
      <alignment horizontal="center"/>
    </xf>
    <xf numFmtId="0" fontId="17" fillId="5" borderId="26" xfId="0" applyFont="1" applyFill="1" applyBorder="1" applyAlignment="1">
      <alignment horizontal="center"/>
    </xf>
    <xf numFmtId="49" fontId="16" fillId="0" borderId="41" xfId="0" applyNumberFormat="1" applyFont="1" applyBorder="1" applyAlignment="1">
      <alignment horizontal="center"/>
    </xf>
    <xf numFmtId="49" fontId="16" fillId="0" borderId="23" xfId="0" applyNumberFormat="1" applyFont="1" applyBorder="1" applyAlignment="1">
      <alignment horizontal="center"/>
    </xf>
    <xf numFmtId="49" fontId="16" fillId="0" borderId="40" xfId="0" applyNumberFormat="1" applyFont="1" applyBorder="1" applyAlignment="1">
      <alignment horizontal="center"/>
    </xf>
    <xf numFmtId="49" fontId="16" fillId="0" borderId="36" xfId="0" applyNumberFormat="1" applyFont="1" applyBorder="1" applyAlignment="1">
      <alignment horizontal="center"/>
    </xf>
    <xf numFmtId="49" fontId="16" fillId="0" borderId="35" xfId="0" applyNumberFormat="1" applyFont="1" applyBorder="1" applyAlignment="1">
      <alignment horizontal="center"/>
    </xf>
    <xf numFmtId="49" fontId="16" fillId="0" borderId="34" xfId="0" applyNumberFormat="1" applyFont="1" applyBorder="1" applyAlignment="1">
      <alignment horizontal="center"/>
    </xf>
    <xf numFmtId="14" fontId="20" fillId="5" borderId="25" xfId="0" applyNumberFormat="1" applyFont="1" applyFill="1" applyBorder="1" applyAlignment="1">
      <alignment horizontal="left"/>
    </xf>
    <xf numFmtId="14" fontId="20" fillId="5" borderId="28" xfId="0" applyNumberFormat="1" applyFont="1" applyFill="1" applyBorder="1" applyAlignment="1">
      <alignment horizontal="left"/>
    </xf>
    <xf numFmtId="14" fontId="20" fillId="5" borderId="26" xfId="0" applyNumberFormat="1" applyFont="1" applyFill="1" applyBorder="1" applyAlignment="1">
      <alignment horizontal="left"/>
    </xf>
    <xf numFmtId="49" fontId="16" fillId="0" borderId="49" xfId="0" applyNumberFormat="1" applyFont="1" applyBorder="1" applyAlignment="1">
      <alignment horizontal="left"/>
    </xf>
    <xf numFmtId="49" fontId="16" fillId="0" borderId="48" xfId="0" applyNumberFormat="1" applyFont="1" applyBorder="1" applyAlignment="1">
      <alignment horizontal="left"/>
    </xf>
    <xf numFmtId="49" fontId="16" fillId="0" borderId="47" xfId="0" applyNumberFormat="1" applyFont="1" applyBorder="1" applyAlignment="1">
      <alignment horizontal="left"/>
    </xf>
    <xf numFmtId="49" fontId="16" fillId="0" borderId="45" xfId="0" applyNumberFormat="1" applyFont="1" applyBorder="1" applyAlignment="1">
      <alignment horizontal="center"/>
    </xf>
    <xf numFmtId="49" fontId="16" fillId="0" borderId="2" xfId="0" applyNumberFormat="1" applyFont="1" applyBorder="1" applyAlignment="1">
      <alignment horizontal="center"/>
    </xf>
    <xf numFmtId="49" fontId="16" fillId="0" borderId="44" xfId="0" applyNumberFormat="1" applyFont="1" applyBorder="1" applyAlignment="1">
      <alignment horizontal="center"/>
    </xf>
    <xf numFmtId="49" fontId="16" fillId="0" borderId="39" xfId="0" applyNumberFormat="1" applyFont="1" applyBorder="1" applyAlignment="1">
      <alignment horizontal="center"/>
    </xf>
    <xf numFmtId="49" fontId="16" fillId="0" borderId="38" xfId="0" applyNumberFormat="1" applyFont="1" applyBorder="1" applyAlignment="1">
      <alignment horizontal="center"/>
    </xf>
    <xf numFmtId="49" fontId="16" fillId="0" borderId="37" xfId="0" applyNumberFormat="1" applyFont="1" applyBorder="1" applyAlignment="1">
      <alignment horizontal="center"/>
    </xf>
    <xf numFmtId="0" fontId="20" fillId="5" borderId="25" xfId="0" applyFont="1" applyFill="1" applyBorder="1" applyAlignment="1">
      <alignment horizontal="center"/>
    </xf>
    <xf numFmtId="0" fontId="20" fillId="5" borderId="28" xfId="0" applyFont="1" applyFill="1" applyBorder="1" applyAlignment="1">
      <alignment horizontal="center"/>
    </xf>
    <xf numFmtId="0" fontId="20" fillId="5" borderId="26" xfId="0" applyFont="1" applyFill="1" applyBorder="1" applyAlignment="1">
      <alignment horizontal="center"/>
    </xf>
    <xf numFmtId="0" fontId="16" fillId="0" borderId="49" xfId="3" applyFont="1" applyBorder="1" applyAlignment="1">
      <alignment horizontal="left"/>
    </xf>
    <xf numFmtId="0" fontId="16" fillId="0" borderId="48" xfId="3" applyFont="1" applyBorder="1" applyAlignment="1">
      <alignment horizontal="left"/>
    </xf>
    <xf numFmtId="0" fontId="16" fillId="0" borderId="47" xfId="3" applyFont="1" applyBorder="1" applyAlignment="1">
      <alignment horizontal="left"/>
    </xf>
    <xf numFmtId="0" fontId="17" fillId="5" borderId="25" xfId="3" applyFont="1" applyFill="1" applyBorder="1" applyAlignment="1">
      <alignment horizontal="center"/>
    </xf>
    <xf numFmtId="0" fontId="17" fillId="5" borderId="26" xfId="3" applyFont="1" applyFill="1" applyBorder="1" applyAlignment="1">
      <alignment horizontal="center"/>
    </xf>
    <xf numFmtId="0" fontId="25" fillId="4" borderId="25" xfId="4" applyFont="1" applyFill="1" applyBorder="1" applyAlignment="1" applyProtection="1">
      <alignment horizontal="center" vertical="center"/>
    </xf>
    <xf numFmtId="0" fontId="25" fillId="4" borderId="28" xfId="4" applyFont="1" applyFill="1" applyBorder="1" applyAlignment="1" applyProtection="1">
      <alignment horizontal="center" vertical="center"/>
    </xf>
    <xf numFmtId="0" fontId="25" fillId="4" borderId="26" xfId="4" applyFont="1" applyFill="1" applyBorder="1" applyAlignment="1" applyProtection="1">
      <alignment horizontal="center" vertical="center"/>
    </xf>
    <xf numFmtId="0" fontId="24" fillId="4" borderId="25" xfId="4" applyFont="1" applyFill="1" applyBorder="1" applyAlignment="1" applyProtection="1">
      <alignment horizontal="center" vertical="center"/>
    </xf>
    <xf numFmtId="0" fontId="24" fillId="4" borderId="28" xfId="4" applyFont="1" applyFill="1" applyBorder="1" applyAlignment="1" applyProtection="1">
      <alignment horizontal="center" vertical="center"/>
    </xf>
    <xf numFmtId="0" fontId="24" fillId="4" borderId="26" xfId="4" applyFont="1" applyFill="1" applyBorder="1" applyAlignment="1" applyProtection="1">
      <alignment horizontal="center" vertical="center"/>
    </xf>
    <xf numFmtId="0" fontId="18" fillId="6" borderId="31" xfId="3" applyFont="1" applyFill="1" applyBorder="1" applyAlignment="1">
      <alignment horizontal="left"/>
    </xf>
    <xf numFmtId="0" fontId="18" fillId="6" borderId="30" xfId="3" applyFont="1" applyFill="1" applyBorder="1" applyAlignment="1">
      <alignment horizontal="left"/>
    </xf>
    <xf numFmtId="0" fontId="18" fillId="6" borderId="7" xfId="3" applyFont="1" applyFill="1" applyBorder="1" applyAlignment="1">
      <alignment horizontal="center" vertical="top" wrapText="1"/>
    </xf>
    <xf numFmtId="0" fontId="18" fillId="6" borderId="8" xfId="3" applyFont="1" applyFill="1" applyBorder="1" applyAlignment="1">
      <alignment horizontal="center" vertical="top" wrapText="1"/>
    </xf>
    <xf numFmtId="0" fontId="18" fillId="6" borderId="9" xfId="3" applyFont="1" applyFill="1" applyBorder="1" applyAlignment="1">
      <alignment horizontal="center" vertical="top" wrapText="1"/>
    </xf>
    <xf numFmtId="0" fontId="18" fillId="6" borderId="12" xfId="3" applyFont="1" applyFill="1" applyBorder="1" applyAlignment="1">
      <alignment horizontal="center" vertical="top" wrapText="1"/>
    </xf>
    <xf numFmtId="0" fontId="18" fillId="6" borderId="0" xfId="3" applyFont="1" applyFill="1" applyAlignment="1">
      <alignment horizontal="center" vertical="top" wrapText="1"/>
    </xf>
    <xf numFmtId="0" fontId="18" fillId="6" borderId="13" xfId="3" applyFont="1" applyFill="1" applyBorder="1" applyAlignment="1">
      <alignment horizontal="center" vertical="top" wrapText="1"/>
    </xf>
    <xf numFmtId="0" fontId="17" fillId="5" borderId="28" xfId="3" applyFont="1" applyFill="1" applyBorder="1" applyAlignment="1">
      <alignment horizontal="center"/>
    </xf>
    <xf numFmtId="49" fontId="21" fillId="5" borderId="25" xfId="3" applyNumberFormat="1" applyFont="1" applyFill="1" applyBorder="1" applyAlignment="1">
      <alignment horizontal="center" vertical="center"/>
    </xf>
    <xf numFmtId="49" fontId="21" fillId="5" borderId="28" xfId="3" applyNumberFormat="1" applyFont="1" applyFill="1" applyBorder="1" applyAlignment="1">
      <alignment horizontal="center" vertical="center"/>
    </xf>
    <xf numFmtId="49" fontId="21" fillId="5" borderId="26" xfId="3" applyNumberFormat="1" applyFont="1" applyFill="1" applyBorder="1" applyAlignment="1">
      <alignment horizontal="center" vertical="center"/>
    </xf>
    <xf numFmtId="0" fontId="20" fillId="5" borderId="25" xfId="3" applyFont="1" applyFill="1" applyBorder="1" applyAlignment="1">
      <alignment horizontal="left"/>
    </xf>
    <xf numFmtId="0" fontId="20" fillId="5" borderId="28" xfId="3" applyFont="1" applyFill="1" applyBorder="1" applyAlignment="1">
      <alignment horizontal="left"/>
    </xf>
    <xf numFmtId="0" fontId="20" fillId="5" borderId="26" xfId="3" applyFont="1" applyFill="1" applyBorder="1" applyAlignment="1">
      <alignment horizontal="left"/>
    </xf>
    <xf numFmtId="49" fontId="21" fillId="4" borderId="23" xfId="3" applyNumberFormat="1" applyFont="1" applyFill="1" applyBorder="1" applyAlignment="1">
      <alignment horizontal="left" vertical="center"/>
    </xf>
    <xf numFmtId="49" fontId="21" fillId="4" borderId="40" xfId="3" applyNumberFormat="1" applyFont="1" applyFill="1" applyBorder="1" applyAlignment="1">
      <alignment horizontal="left" vertical="center"/>
    </xf>
    <xf numFmtId="49" fontId="21" fillId="4" borderId="38" xfId="3" applyNumberFormat="1" applyFont="1" applyFill="1" applyBorder="1" applyAlignment="1">
      <alignment horizontal="left" vertical="center"/>
    </xf>
    <xf numFmtId="49" fontId="21" fillId="4" borderId="37" xfId="3" applyNumberFormat="1" applyFont="1" applyFill="1" applyBorder="1" applyAlignment="1">
      <alignment horizontal="left" vertical="center"/>
    </xf>
    <xf numFmtId="0" fontId="18" fillId="6" borderId="7" xfId="3" applyFont="1" applyFill="1" applyBorder="1" applyAlignment="1">
      <alignment horizontal="center" wrapText="1"/>
    </xf>
    <xf numFmtId="0" fontId="18" fillId="6" borderId="8" xfId="3" applyFont="1" applyFill="1" applyBorder="1" applyAlignment="1">
      <alignment horizontal="center" wrapText="1"/>
    </xf>
    <xf numFmtId="0" fontId="18" fillId="6" borderId="9" xfId="3" applyFont="1" applyFill="1" applyBorder="1" applyAlignment="1">
      <alignment horizontal="center" wrapText="1"/>
    </xf>
    <xf numFmtId="0" fontId="18" fillId="6" borderId="12" xfId="3" applyFont="1" applyFill="1" applyBorder="1" applyAlignment="1">
      <alignment horizontal="center" wrapText="1"/>
    </xf>
    <xf numFmtId="0" fontId="18" fillId="6" borderId="0" xfId="3" applyFont="1" applyFill="1" applyAlignment="1">
      <alignment horizontal="center" wrapText="1"/>
    </xf>
    <xf numFmtId="0" fontId="18" fillId="6" borderId="13" xfId="3" applyFont="1" applyFill="1" applyBorder="1" applyAlignment="1">
      <alignment horizontal="center" wrapText="1"/>
    </xf>
    <xf numFmtId="49" fontId="21" fillId="4" borderId="35" xfId="3" applyNumberFormat="1" applyFont="1" applyFill="1" applyBorder="1" applyAlignment="1">
      <alignment horizontal="left" vertical="center"/>
    </xf>
    <xf numFmtId="49" fontId="21" fillId="4" borderId="34" xfId="3" applyNumberFormat="1" applyFont="1" applyFill="1" applyBorder="1" applyAlignment="1">
      <alignment horizontal="left" vertical="center"/>
    </xf>
    <xf numFmtId="49" fontId="16" fillId="0" borderId="39" xfId="3" applyNumberFormat="1" applyFont="1" applyBorder="1" applyAlignment="1">
      <alignment horizontal="left"/>
    </xf>
    <xf numFmtId="49" fontId="16" fillId="0" borderId="38" xfId="3" applyNumberFormat="1" applyFont="1" applyBorder="1" applyAlignment="1">
      <alignment horizontal="left"/>
    </xf>
    <xf numFmtId="49" fontId="16" fillId="0" borderId="37" xfId="3" applyNumberFormat="1" applyFont="1" applyBorder="1" applyAlignment="1">
      <alignment horizontal="left"/>
    </xf>
    <xf numFmtId="49" fontId="16" fillId="0" borderId="36" xfId="3" applyNumberFormat="1" applyFont="1" applyBorder="1" applyAlignment="1">
      <alignment horizontal="left"/>
    </xf>
    <xf numFmtId="49" fontId="16" fillId="0" borderId="35" xfId="3" applyNumberFormat="1" applyFont="1" applyBorder="1" applyAlignment="1">
      <alignment horizontal="left"/>
    </xf>
    <xf numFmtId="49" fontId="16" fillId="0" borderId="34" xfId="3" applyNumberFormat="1" applyFont="1" applyBorder="1" applyAlignment="1">
      <alignment horizontal="left"/>
    </xf>
    <xf numFmtId="14" fontId="20" fillId="5" borderId="25" xfId="3" applyNumberFormat="1" applyFont="1" applyFill="1" applyBorder="1" applyAlignment="1">
      <alignment horizontal="left"/>
    </xf>
    <xf numFmtId="14" fontId="20" fillId="5" borderId="28" xfId="3" applyNumberFormat="1" applyFont="1" applyFill="1" applyBorder="1" applyAlignment="1">
      <alignment horizontal="left"/>
    </xf>
    <xf numFmtId="14" fontId="20" fillId="5" borderId="26" xfId="3" applyNumberFormat="1" applyFont="1" applyFill="1" applyBorder="1" applyAlignment="1">
      <alignment horizontal="left"/>
    </xf>
    <xf numFmtId="49" fontId="16" fillId="0" borderId="45" xfId="3" applyNumberFormat="1" applyFont="1" applyBorder="1" applyAlignment="1">
      <alignment horizontal="left"/>
    </xf>
    <xf numFmtId="49" fontId="16" fillId="0" borderId="2" xfId="3" applyNumberFormat="1" applyFont="1" applyBorder="1" applyAlignment="1">
      <alignment horizontal="left"/>
    </xf>
    <xf numFmtId="49" fontId="16" fillId="0" borderId="44" xfId="3" applyNumberFormat="1" applyFont="1" applyBorder="1" applyAlignment="1">
      <alignment horizontal="left"/>
    </xf>
    <xf numFmtId="39" fontId="39" fillId="0" borderId="0" xfId="0" applyNumberFormat="1" applyFont="1" applyAlignment="1">
      <alignment horizontal="center"/>
    </xf>
    <xf numFmtId="0" fontId="39" fillId="0" borderId="0" xfId="0" applyFont="1" applyAlignment="1">
      <alignment horizontal="left"/>
    </xf>
    <xf numFmtId="0" fontId="16" fillId="4" borderId="16" xfId="3" applyFont="1" applyFill="1" applyBorder="1" applyAlignment="1">
      <alignment horizontal="center"/>
    </xf>
    <xf numFmtId="0" fontId="16" fillId="4" borderId="18" xfId="3" applyFont="1" applyFill="1" applyBorder="1" applyAlignment="1">
      <alignment horizontal="center"/>
    </xf>
    <xf numFmtId="49" fontId="16" fillId="0" borderId="49" xfId="3" applyNumberFormat="1" applyFont="1" applyBorder="1" applyAlignment="1">
      <alignment horizontal="left"/>
    </xf>
    <xf numFmtId="49" fontId="16" fillId="0" borderId="48" xfId="3" applyNumberFormat="1" applyFont="1" applyBorder="1" applyAlignment="1">
      <alignment horizontal="left"/>
    </xf>
    <xf numFmtId="49" fontId="16" fillId="0" borderId="47" xfId="3" applyNumberFormat="1" applyFont="1" applyBorder="1" applyAlignment="1">
      <alignment horizontal="left"/>
    </xf>
    <xf numFmtId="0" fontId="16" fillId="4" borderId="25" xfId="3" applyFont="1" applyFill="1" applyBorder="1" applyAlignment="1">
      <alignment horizontal="center"/>
    </xf>
    <xf numFmtId="0" fontId="16" fillId="4" borderId="26" xfId="3" applyFont="1" applyFill="1" applyBorder="1" applyAlignment="1">
      <alignment horizontal="center"/>
    </xf>
    <xf numFmtId="0" fontId="20" fillId="6" borderId="25" xfId="3" applyFont="1" applyFill="1" applyBorder="1" applyAlignment="1">
      <alignment horizontal="center"/>
    </xf>
    <xf numFmtId="0" fontId="20" fillId="6" borderId="28" xfId="3" applyFont="1" applyFill="1" applyBorder="1" applyAlignment="1">
      <alignment horizontal="center"/>
    </xf>
    <xf numFmtId="0" fontId="20" fillId="6" borderId="26" xfId="3" applyFont="1" applyFill="1" applyBorder="1" applyAlignment="1">
      <alignment horizontal="center"/>
    </xf>
    <xf numFmtId="0" fontId="5" fillId="6" borderId="7" xfId="3" applyFill="1" applyBorder="1" applyAlignment="1" applyProtection="1">
      <alignment horizontal="left" vertical="top" wrapText="1"/>
      <protection locked="0"/>
    </xf>
    <xf numFmtId="0" fontId="5" fillId="6" borderId="8" xfId="3" applyFill="1" applyBorder="1" applyAlignment="1" applyProtection="1">
      <alignment horizontal="left" vertical="top" wrapText="1"/>
      <protection locked="0"/>
    </xf>
    <xf numFmtId="0" fontId="5" fillId="6" borderId="9" xfId="3" applyFill="1" applyBorder="1" applyAlignment="1" applyProtection="1">
      <alignment horizontal="left" vertical="top" wrapText="1"/>
      <protection locked="0"/>
    </xf>
    <xf numFmtId="0" fontId="5" fillId="6" borderId="12" xfId="3" applyFill="1" applyBorder="1" applyAlignment="1" applyProtection="1">
      <alignment horizontal="left" vertical="top" wrapText="1"/>
      <protection locked="0"/>
    </xf>
    <xf numFmtId="0" fontId="5" fillId="6" borderId="0" xfId="3" applyFill="1" applyAlignment="1" applyProtection="1">
      <alignment horizontal="left" vertical="top" wrapText="1"/>
      <protection locked="0"/>
    </xf>
    <xf numFmtId="0" fontId="5" fillId="6" borderId="13" xfId="3" applyFill="1" applyBorder="1" applyAlignment="1" applyProtection="1">
      <alignment horizontal="left" vertical="top" wrapText="1"/>
      <protection locked="0"/>
    </xf>
    <xf numFmtId="0" fontId="5" fillId="6" borderId="16" xfId="3" applyFill="1" applyBorder="1" applyAlignment="1" applyProtection="1">
      <alignment horizontal="left" vertical="top" wrapText="1"/>
      <protection locked="0"/>
    </xf>
    <xf numFmtId="0" fontId="5" fillId="6" borderId="17" xfId="3" applyFill="1" applyBorder="1" applyAlignment="1" applyProtection="1">
      <alignment horizontal="left" vertical="top" wrapText="1"/>
      <protection locked="0"/>
    </xf>
    <xf numFmtId="0" fontId="5" fillId="6" borderId="18" xfId="3" applyFill="1" applyBorder="1" applyAlignment="1" applyProtection="1">
      <alignment horizontal="left" vertical="top" wrapText="1"/>
      <protection locked="0"/>
    </xf>
    <xf numFmtId="49" fontId="16" fillId="0" borderId="41" xfId="3" applyNumberFormat="1" applyFont="1" applyBorder="1" applyAlignment="1">
      <alignment horizontal="left"/>
    </xf>
    <xf numFmtId="49" fontId="16" fillId="0" borderId="23" xfId="3" applyNumberFormat="1" applyFont="1" applyBorder="1" applyAlignment="1">
      <alignment horizontal="left"/>
    </xf>
    <xf numFmtId="49" fontId="16" fillId="0" borderId="40" xfId="3" applyNumberFormat="1" applyFont="1" applyBorder="1" applyAlignment="1">
      <alignment horizontal="left"/>
    </xf>
    <xf numFmtId="14" fontId="20" fillId="5" borderId="25" xfId="3" applyNumberFormat="1" applyFont="1" applyFill="1" applyBorder="1" applyAlignment="1">
      <alignment horizontal="center"/>
    </xf>
    <xf numFmtId="14" fontId="20" fillId="5" borderId="28" xfId="3" applyNumberFormat="1" applyFont="1" applyFill="1" applyBorder="1" applyAlignment="1">
      <alignment horizontal="center"/>
    </xf>
    <xf numFmtId="14" fontId="20" fillId="5" borderId="26" xfId="3" applyNumberFormat="1" applyFont="1" applyFill="1" applyBorder="1" applyAlignment="1">
      <alignment horizontal="center"/>
    </xf>
    <xf numFmtId="0" fontId="24" fillId="4" borderId="28" xfId="4" applyFont="1" applyFill="1" applyBorder="1" applyAlignment="1" applyProtection="1">
      <alignment horizontal="left" vertical="center"/>
    </xf>
    <xf numFmtId="0" fontId="24" fillId="4" borderId="26" xfId="4" applyFont="1" applyFill="1" applyBorder="1" applyAlignment="1" applyProtection="1">
      <alignment horizontal="left" vertical="center"/>
    </xf>
    <xf numFmtId="0" fontId="5" fillId="0" borderId="25" xfId="3" applyBorder="1" applyAlignment="1">
      <alignment horizontal="center"/>
    </xf>
    <xf numFmtId="0" fontId="5" fillId="0" borderId="26" xfId="3" applyBorder="1" applyAlignment="1">
      <alignment horizontal="center"/>
    </xf>
    <xf numFmtId="0" fontId="20" fillId="5" borderId="25" xfId="3" applyFont="1" applyFill="1" applyBorder="1" applyAlignment="1">
      <alignment horizontal="center"/>
    </xf>
    <xf numFmtId="0" fontId="20" fillId="5" borderId="28" xfId="3" applyFont="1" applyFill="1" applyBorder="1" applyAlignment="1">
      <alignment horizontal="center"/>
    </xf>
    <xf numFmtId="0" fontId="20" fillId="5" borderId="26" xfId="3" applyFont="1" applyFill="1" applyBorder="1" applyAlignment="1">
      <alignment horizontal="center"/>
    </xf>
    <xf numFmtId="0" fontId="5" fillId="5" borderId="25" xfId="3" applyFill="1" applyBorder="1" applyAlignment="1">
      <alignment horizontal="center"/>
    </xf>
    <xf numFmtId="0" fontId="5" fillId="5" borderId="28" xfId="3" applyFill="1" applyBorder="1" applyAlignment="1">
      <alignment horizontal="center"/>
    </xf>
    <xf numFmtId="0" fontId="5" fillId="5" borderId="26" xfId="3" applyFill="1" applyBorder="1" applyAlignment="1">
      <alignment horizontal="center"/>
    </xf>
    <xf numFmtId="0" fontId="54" fillId="4" borderId="7" xfId="4" applyFont="1" applyFill="1" applyBorder="1" applyAlignment="1" applyProtection="1">
      <alignment horizontal="center" vertical="center" wrapText="1"/>
    </xf>
    <xf numFmtId="0" fontId="54" fillId="4" borderId="8" xfId="4" applyFont="1" applyFill="1" applyBorder="1" applyAlignment="1" applyProtection="1">
      <alignment horizontal="center" vertical="center" wrapText="1"/>
    </xf>
    <xf numFmtId="0" fontId="54" fillId="4" borderId="9" xfId="4" applyFont="1" applyFill="1" applyBorder="1" applyAlignment="1" applyProtection="1">
      <alignment horizontal="center" vertical="center" wrapText="1"/>
    </xf>
    <xf numFmtId="0" fontId="54" fillId="4" borderId="16" xfId="4" applyFont="1" applyFill="1" applyBorder="1" applyAlignment="1" applyProtection="1">
      <alignment horizontal="center" vertical="center" wrapText="1"/>
    </xf>
    <xf numFmtId="0" fontId="54" fillId="4" borderId="17" xfId="4" applyFont="1" applyFill="1" applyBorder="1" applyAlignment="1" applyProtection="1">
      <alignment horizontal="center" vertical="center" wrapText="1"/>
    </xf>
    <xf numFmtId="0" fontId="54" fillId="4" borderId="18" xfId="4" applyFont="1" applyFill="1" applyBorder="1" applyAlignment="1" applyProtection="1">
      <alignment horizontal="center" vertical="center" wrapText="1"/>
    </xf>
    <xf numFmtId="0" fontId="20" fillId="0" borderId="16" xfId="3" applyFont="1" applyBorder="1" applyAlignment="1">
      <alignment horizontal="right"/>
    </xf>
    <xf numFmtId="0" fontId="20" fillId="0" borderId="17" xfId="3" applyFont="1" applyBorder="1" applyAlignment="1">
      <alignment horizontal="right"/>
    </xf>
    <xf numFmtId="0" fontId="20" fillId="0" borderId="18" xfId="3" applyFont="1" applyBorder="1" applyAlignment="1">
      <alignment horizontal="right"/>
    </xf>
    <xf numFmtId="0" fontId="20" fillId="0" borderId="7" xfId="3" applyFont="1" applyBorder="1" applyAlignment="1">
      <alignment horizontal="right" vertical="center" wrapText="1"/>
    </xf>
    <xf numFmtId="0" fontId="20" fillId="0" borderId="9" xfId="3" applyFont="1" applyBorder="1" applyAlignment="1">
      <alignment horizontal="right" vertical="center" wrapText="1"/>
    </xf>
    <xf numFmtId="0" fontId="20" fillId="0" borderId="12" xfId="3" applyFont="1" applyBorder="1" applyAlignment="1">
      <alignment horizontal="right" vertical="center" wrapText="1"/>
    </xf>
    <xf numFmtId="0" fontId="20" fillId="0" borderId="13" xfId="3" applyFont="1" applyBorder="1" applyAlignment="1">
      <alignment horizontal="right" vertical="center" wrapText="1"/>
    </xf>
    <xf numFmtId="0" fontId="41" fillId="0" borderId="7" xfId="3" applyFont="1" applyBorder="1" applyAlignment="1">
      <alignment horizontal="left" vertical="center" wrapText="1"/>
    </xf>
    <xf numFmtId="0" fontId="41" fillId="0" borderId="8" xfId="3" applyFont="1" applyBorder="1" applyAlignment="1">
      <alignment horizontal="left" vertical="center" wrapText="1"/>
    </xf>
    <xf numFmtId="0" fontId="41" fillId="0" borderId="9" xfId="3" applyFont="1" applyBorder="1" applyAlignment="1">
      <alignment horizontal="left" vertical="center" wrapText="1"/>
    </xf>
    <xf numFmtId="0" fontId="41" fillId="0" borderId="16" xfId="3" applyFont="1" applyBorder="1" applyAlignment="1">
      <alignment horizontal="left" vertical="center" wrapText="1"/>
    </xf>
    <xf numFmtId="0" fontId="41" fillId="0" borderId="17" xfId="3" applyFont="1" applyBorder="1" applyAlignment="1">
      <alignment horizontal="left" vertical="center" wrapText="1"/>
    </xf>
    <xf numFmtId="0" fontId="41" fillId="0" borderId="18" xfId="3" applyFont="1" applyBorder="1" applyAlignment="1">
      <alignment horizontal="left" vertical="center" wrapText="1"/>
    </xf>
    <xf numFmtId="0" fontId="20" fillId="0" borderId="45" xfId="3" applyFont="1" applyBorder="1" applyAlignment="1">
      <alignment horizontal="center"/>
    </xf>
    <xf numFmtId="0" fontId="20" fillId="0" borderId="2" xfId="3" applyFont="1" applyBorder="1" applyAlignment="1">
      <alignment horizontal="center"/>
    </xf>
    <xf numFmtId="0" fontId="20" fillId="6" borderId="2" xfId="3" quotePrefix="1" applyFont="1" applyFill="1" applyBorder="1" applyAlignment="1">
      <alignment horizontal="left"/>
    </xf>
    <xf numFmtId="0" fontId="20" fillId="6" borderId="1" xfId="3" applyFont="1" applyFill="1" applyBorder="1" applyAlignment="1">
      <alignment horizontal="left"/>
    </xf>
    <xf numFmtId="0" fontId="20" fillId="6" borderId="2" xfId="3" applyFont="1" applyFill="1" applyBorder="1" applyAlignment="1">
      <alignment horizontal="left"/>
    </xf>
    <xf numFmtId="0" fontId="20" fillId="6" borderId="57" xfId="3" applyFont="1" applyFill="1" applyBorder="1" applyAlignment="1">
      <alignment horizontal="left"/>
    </xf>
    <xf numFmtId="0" fontId="20" fillId="6" borderId="2" xfId="3" applyFont="1" applyFill="1" applyBorder="1" applyAlignment="1">
      <alignment horizontal="center"/>
    </xf>
    <xf numFmtId="0" fontId="20" fillId="6" borderId="57" xfId="3" applyFont="1" applyFill="1" applyBorder="1" applyAlignment="1">
      <alignment horizontal="center"/>
    </xf>
    <xf numFmtId="0" fontId="20" fillId="6" borderId="1" xfId="3" applyFont="1" applyFill="1" applyBorder="1" applyAlignment="1">
      <alignment horizontal="center"/>
    </xf>
    <xf numFmtId="0" fontId="20" fillId="6" borderId="11" xfId="3" applyFont="1" applyFill="1" applyBorder="1" applyAlignment="1">
      <alignment horizontal="center"/>
    </xf>
    <xf numFmtId="0" fontId="20" fillId="0" borderId="31" xfId="3" applyFont="1" applyBorder="1" applyAlignment="1">
      <alignment horizontal="center"/>
    </xf>
    <xf numFmtId="0" fontId="20" fillId="0" borderId="30" xfId="3" applyFont="1" applyBorder="1" applyAlignment="1">
      <alignment horizontal="center"/>
    </xf>
    <xf numFmtId="0" fontId="20" fillId="0" borderId="58" xfId="3" applyFont="1" applyBorder="1" applyAlignment="1">
      <alignment horizontal="center"/>
    </xf>
    <xf numFmtId="0" fontId="20" fillId="6" borderId="59" xfId="3" applyFont="1" applyFill="1" applyBorder="1" applyAlignment="1">
      <alignment horizontal="left"/>
    </xf>
    <xf numFmtId="0" fontId="20" fillId="6" borderId="30" xfId="3" applyFont="1" applyFill="1" applyBorder="1" applyAlignment="1">
      <alignment horizontal="left"/>
    </xf>
    <xf numFmtId="0" fontId="20" fillId="6" borderId="29" xfId="3" applyFont="1" applyFill="1" applyBorder="1" applyAlignment="1">
      <alignment horizontal="left"/>
    </xf>
    <xf numFmtId="0" fontId="20" fillId="6" borderId="44" xfId="3" applyFont="1" applyFill="1" applyBorder="1" applyAlignment="1">
      <alignment horizontal="left"/>
    </xf>
    <xf numFmtId="49" fontId="20" fillId="4" borderId="2" xfId="3" applyNumberFormat="1" applyFont="1" applyFill="1" applyBorder="1" applyAlignment="1">
      <alignment horizontal="left"/>
    </xf>
    <xf numFmtId="49" fontId="20" fillId="4" borderId="57" xfId="3" applyNumberFormat="1" applyFont="1" applyFill="1" applyBorder="1" applyAlignment="1">
      <alignment horizontal="left"/>
    </xf>
    <xf numFmtId="0" fontId="20" fillId="0" borderId="19" xfId="3" applyFont="1" applyBorder="1" applyAlignment="1">
      <alignment horizontal="center"/>
    </xf>
    <xf numFmtId="0" fontId="20" fillId="0" borderId="25" xfId="3" applyFont="1" applyBorder="1" applyAlignment="1">
      <alignment horizontal="right" wrapText="1"/>
    </xf>
    <xf numFmtId="0" fontId="20" fillId="0" borderId="28" xfId="3" applyFont="1" applyBorder="1" applyAlignment="1">
      <alignment horizontal="right" wrapText="1"/>
    </xf>
    <xf numFmtId="0" fontId="20" fillId="0" borderId="26" xfId="3" applyFont="1" applyBorder="1" applyAlignment="1">
      <alignment horizontal="right" wrapText="1"/>
    </xf>
    <xf numFmtId="0" fontId="41" fillId="0" borderId="7" xfId="3" applyFont="1" applyBorder="1" applyAlignment="1">
      <alignment horizontal="center" vertical="center" wrapText="1"/>
    </xf>
    <xf numFmtId="0" fontId="41" fillId="0" borderId="8" xfId="3" applyFont="1" applyBorder="1" applyAlignment="1">
      <alignment horizontal="center" vertical="center" wrapText="1"/>
    </xf>
    <xf numFmtId="0" fontId="41" fillId="0" borderId="9" xfId="3" applyFont="1" applyBorder="1" applyAlignment="1">
      <alignment horizontal="center" vertical="center" wrapText="1"/>
    </xf>
    <xf numFmtId="0" fontId="41" fillId="0" borderId="16" xfId="3" applyFont="1" applyBorder="1" applyAlignment="1">
      <alignment horizontal="center" vertical="center" wrapText="1"/>
    </xf>
    <xf numFmtId="0" fontId="41" fillId="0" borderId="17" xfId="3" applyFont="1" applyBorder="1" applyAlignment="1">
      <alignment horizontal="center" vertical="center" wrapText="1"/>
    </xf>
    <xf numFmtId="0" fontId="41" fillId="0" borderId="18" xfId="3" applyFont="1" applyBorder="1" applyAlignment="1">
      <alignment horizontal="center" vertical="center" wrapText="1"/>
    </xf>
    <xf numFmtId="0" fontId="20" fillId="6" borderId="48" xfId="3" applyFont="1" applyFill="1" applyBorder="1" applyAlignment="1">
      <alignment horizontal="left"/>
    </xf>
    <xf numFmtId="0" fontId="20" fillId="6" borderId="22" xfId="3" applyFont="1" applyFill="1" applyBorder="1" applyAlignment="1">
      <alignment horizontal="left"/>
    </xf>
    <xf numFmtId="0" fontId="20" fillId="6" borderId="54" xfId="3" applyFont="1" applyFill="1" applyBorder="1" applyAlignment="1">
      <alignment horizontal="left"/>
    </xf>
    <xf numFmtId="0" fontId="20" fillId="0" borderId="53" xfId="3" applyFont="1" applyBorder="1" applyAlignment="1">
      <alignment horizontal="center"/>
    </xf>
    <xf numFmtId="0" fontId="20" fillId="0" borderId="48" xfId="3" applyFont="1" applyBorder="1" applyAlignment="1">
      <alignment horizontal="center"/>
    </xf>
    <xf numFmtId="49" fontId="20" fillId="6" borderId="48" xfId="3" applyNumberFormat="1" applyFont="1" applyFill="1" applyBorder="1" applyAlignment="1">
      <alignment horizontal="center"/>
    </xf>
    <xf numFmtId="49" fontId="20" fillId="6" borderId="47" xfId="3" applyNumberFormat="1" applyFont="1" applyFill="1" applyBorder="1" applyAlignment="1">
      <alignment horizontal="center"/>
    </xf>
    <xf numFmtId="0" fontId="16" fillId="0" borderId="25" xfId="3" applyFont="1" applyBorder="1" applyProtection="1">
      <protection locked="0"/>
    </xf>
    <xf numFmtId="0" fontId="16" fillId="0" borderId="28" xfId="3" applyFont="1" applyBorder="1" applyProtection="1">
      <protection locked="0"/>
    </xf>
    <xf numFmtId="0" fontId="16" fillId="0" borderId="26" xfId="3" applyFont="1" applyBorder="1" applyProtection="1">
      <protection locked="0"/>
    </xf>
    <xf numFmtId="49" fontId="16" fillId="0" borderId="45" xfId="3" applyNumberFormat="1" applyFont="1" applyBorder="1" applyAlignment="1" applyProtection="1">
      <alignment horizontal="left"/>
      <protection locked="0"/>
    </xf>
    <xf numFmtId="49" fontId="16" fillId="0" borderId="2" xfId="3" applyNumberFormat="1" applyFont="1" applyBorder="1" applyAlignment="1" applyProtection="1">
      <alignment horizontal="left"/>
      <protection locked="0"/>
    </xf>
    <xf numFmtId="49" fontId="16" fillId="0" borderId="44" xfId="3" applyNumberFormat="1" applyFont="1" applyBorder="1" applyAlignment="1" applyProtection="1">
      <alignment horizontal="left"/>
      <protection locked="0"/>
    </xf>
    <xf numFmtId="0" fontId="16" fillId="0" borderId="45" xfId="3" applyFont="1" applyBorder="1" applyProtection="1">
      <protection locked="0"/>
    </xf>
    <xf numFmtId="0" fontId="16" fillId="0" borderId="2" xfId="3" applyFont="1" applyBorder="1" applyProtection="1">
      <protection locked="0"/>
    </xf>
    <xf numFmtId="0" fontId="16" fillId="0" borderId="44" xfId="3" applyFont="1" applyBorder="1" applyProtection="1">
      <protection locked="0"/>
    </xf>
    <xf numFmtId="49" fontId="16" fillId="0" borderId="45" xfId="3" applyNumberFormat="1" applyFont="1" applyBorder="1" applyAlignment="1" applyProtection="1">
      <alignment horizontal="center"/>
      <protection locked="0"/>
    </xf>
    <xf numFmtId="49" fontId="16" fillId="0" borderId="2" xfId="3" applyNumberFormat="1" applyFont="1" applyBorder="1" applyAlignment="1" applyProtection="1">
      <alignment horizontal="center"/>
      <protection locked="0"/>
    </xf>
    <xf numFmtId="49" fontId="16" fillId="0" borderId="44" xfId="3" applyNumberFormat="1" applyFont="1" applyBorder="1" applyAlignment="1" applyProtection="1">
      <alignment horizontal="center"/>
      <protection locked="0"/>
    </xf>
    <xf numFmtId="49" fontId="16" fillId="0" borderId="31" xfId="3" applyNumberFormat="1" applyFont="1" applyBorder="1" applyAlignment="1" applyProtection="1">
      <alignment horizontal="left"/>
      <protection locked="0"/>
    </xf>
    <xf numFmtId="49" fontId="16" fillId="0" borderId="30" xfId="3" applyNumberFormat="1" applyFont="1" applyBorder="1" applyAlignment="1" applyProtection="1">
      <alignment horizontal="left"/>
      <protection locked="0"/>
    </xf>
    <xf numFmtId="49" fontId="16" fillId="0" borderId="29" xfId="3" applyNumberFormat="1" applyFont="1" applyBorder="1" applyAlignment="1" applyProtection="1">
      <alignment horizontal="left"/>
      <protection locked="0"/>
    </xf>
    <xf numFmtId="0" fontId="16" fillId="0" borderId="31" xfId="3" applyFont="1" applyBorder="1" applyProtection="1">
      <protection locked="0"/>
    </xf>
    <xf numFmtId="0" fontId="16" fillId="0" borderId="30" xfId="3" applyFont="1" applyBorder="1" applyProtection="1">
      <protection locked="0"/>
    </xf>
    <xf numFmtId="0" fontId="16" fillId="0" borderId="29" xfId="3" applyFont="1" applyBorder="1" applyProtection="1">
      <protection locked="0"/>
    </xf>
    <xf numFmtId="14" fontId="20" fillId="5" borderId="25" xfId="3" applyNumberFormat="1" applyFont="1" applyFill="1" applyBorder="1" applyAlignment="1" applyProtection="1">
      <alignment horizontal="left"/>
      <protection locked="0"/>
    </xf>
    <xf numFmtId="14" fontId="20" fillId="5" borderId="28" xfId="3" applyNumberFormat="1" applyFont="1" applyFill="1" applyBorder="1" applyAlignment="1" applyProtection="1">
      <alignment horizontal="left"/>
      <protection locked="0"/>
    </xf>
    <xf numFmtId="14" fontId="20" fillId="5" borderId="26" xfId="3" applyNumberFormat="1" applyFont="1" applyFill="1" applyBorder="1" applyAlignment="1" applyProtection="1">
      <alignment horizontal="left"/>
      <protection locked="0"/>
    </xf>
    <xf numFmtId="0" fontId="26" fillId="0" borderId="7" xfId="3" applyFont="1" applyBorder="1" applyAlignment="1">
      <alignment horizontal="left" vertical="center" wrapText="1"/>
    </xf>
    <xf numFmtId="0" fontId="26" fillId="0" borderId="8" xfId="3" applyFont="1" applyBorder="1" applyAlignment="1">
      <alignment horizontal="left" vertical="center" wrapText="1"/>
    </xf>
    <xf numFmtId="0" fontId="26" fillId="0" borderId="9" xfId="3" applyFont="1" applyBorder="1" applyAlignment="1">
      <alignment horizontal="left" vertical="center" wrapText="1"/>
    </xf>
    <xf numFmtId="0" fontId="26" fillId="0" borderId="16" xfId="3" applyFont="1" applyBorder="1" applyAlignment="1">
      <alignment horizontal="left" vertical="center" wrapText="1"/>
    </xf>
    <xf numFmtId="0" fontId="26" fillId="0" borderId="17" xfId="3" applyFont="1" applyBorder="1" applyAlignment="1">
      <alignment horizontal="left" vertical="center" wrapText="1"/>
    </xf>
    <xf numFmtId="0" fontId="26" fillId="0" borderId="18" xfId="3" applyFont="1" applyBorder="1" applyAlignment="1">
      <alignment horizontal="left" vertical="center" wrapText="1"/>
    </xf>
    <xf numFmtId="0" fontId="23" fillId="4" borderId="7" xfId="4" applyFill="1" applyBorder="1" applyAlignment="1">
      <alignment horizontal="center" vertical="center" wrapText="1"/>
    </xf>
    <xf numFmtId="0" fontId="23" fillId="4" borderId="8" xfId="4" applyFill="1" applyBorder="1" applyAlignment="1">
      <alignment horizontal="center" vertical="center" wrapText="1"/>
    </xf>
    <xf numFmtId="0" fontId="23" fillId="4" borderId="9" xfId="4" applyFill="1" applyBorder="1" applyAlignment="1">
      <alignment horizontal="center" vertical="center" wrapText="1"/>
    </xf>
    <xf numFmtId="0" fontId="23" fillId="4" borderId="16" xfId="4" applyFill="1" applyBorder="1" applyAlignment="1">
      <alignment horizontal="center" vertical="center" wrapText="1"/>
    </xf>
    <xf numFmtId="0" fontId="23" fillId="4" borderId="17" xfId="4" applyFill="1" applyBorder="1" applyAlignment="1">
      <alignment horizontal="center" vertical="center" wrapText="1"/>
    </xf>
    <xf numFmtId="0" fontId="23" fillId="4" borderId="18" xfId="4" applyFill="1" applyBorder="1" applyAlignment="1">
      <alignment horizontal="center" vertical="center" wrapText="1"/>
    </xf>
    <xf numFmtId="0" fontId="25" fillId="4" borderId="25" xfId="4" applyFont="1" applyFill="1" applyBorder="1" applyAlignment="1">
      <alignment horizontal="right" vertical="center"/>
    </xf>
    <xf numFmtId="0" fontId="25" fillId="4" borderId="28" xfId="4" applyFont="1" applyFill="1" applyBorder="1" applyAlignment="1">
      <alignment horizontal="right" vertical="center"/>
    </xf>
    <xf numFmtId="0" fontId="25" fillId="4" borderId="8" xfId="4" applyFont="1" applyFill="1" applyBorder="1" applyAlignment="1">
      <alignment horizontal="right" vertical="center"/>
    </xf>
    <xf numFmtId="0" fontId="24" fillId="4" borderId="28" xfId="4" applyFont="1" applyFill="1" applyBorder="1" applyAlignment="1">
      <alignment horizontal="left" vertical="center"/>
    </xf>
    <xf numFmtId="0" fontId="24" fillId="4" borderId="26" xfId="4" applyFont="1" applyFill="1" applyBorder="1" applyAlignment="1">
      <alignment horizontal="left" vertical="center"/>
    </xf>
    <xf numFmtId="0" fontId="20" fillId="0" borderId="16" xfId="3" applyFont="1" applyBorder="1" applyAlignment="1">
      <alignment horizontal="right" vertical="center" wrapText="1"/>
    </xf>
    <xf numFmtId="0" fontId="20" fillId="0" borderId="18" xfId="3" applyFont="1" applyBorder="1" applyAlignment="1">
      <alignment horizontal="right" vertical="center" wrapText="1"/>
    </xf>
    <xf numFmtId="0" fontId="26" fillId="0" borderId="12" xfId="3" applyFont="1" applyBorder="1" applyAlignment="1">
      <alignment horizontal="left" vertical="center" wrapText="1"/>
    </xf>
    <xf numFmtId="0" fontId="26" fillId="0" borderId="0" xfId="3" applyFont="1" applyAlignment="1">
      <alignment horizontal="left" vertical="center" wrapText="1"/>
    </xf>
    <xf numFmtId="0" fontId="26" fillId="0" borderId="13" xfId="3" applyFont="1" applyBorder="1" applyAlignment="1">
      <alignment horizontal="left" vertical="center" wrapText="1"/>
    </xf>
    <xf numFmtId="43" fontId="16" fillId="0" borderId="48" xfId="1" applyFont="1" applyBorder="1" applyAlignment="1" applyProtection="1">
      <alignment horizontal="left"/>
      <protection locked="0"/>
    </xf>
    <xf numFmtId="43" fontId="16" fillId="0" borderId="2" xfId="1" applyFont="1" applyBorder="1" applyAlignment="1" applyProtection="1">
      <alignment horizontal="left"/>
      <protection locked="0"/>
    </xf>
    <xf numFmtId="0" fontId="13" fillId="0" borderId="0" xfId="0" applyFont="1" applyAlignment="1">
      <alignment horizontal="justify" vertical="top" wrapText="1"/>
    </xf>
    <xf numFmtId="0" fontId="13" fillId="0" borderId="0" xfId="0" applyFont="1" applyAlignment="1" applyProtection="1">
      <alignment horizontal="justify" vertical="top" wrapText="1"/>
      <protection locked="0"/>
    </xf>
    <xf numFmtId="0" fontId="3" fillId="0" borderId="1" xfId="0" applyFont="1" applyBorder="1" applyAlignment="1" applyProtection="1">
      <alignment horizontal="center"/>
      <protection locked="0"/>
    </xf>
    <xf numFmtId="169" fontId="3" fillId="0" borderId="1" xfId="0" applyNumberFormat="1" applyFont="1" applyBorder="1" applyAlignment="1">
      <alignment horizontal="center"/>
    </xf>
    <xf numFmtId="0" fontId="6" fillId="0" borderId="0" xfId="0" applyFont="1" applyAlignment="1">
      <alignment horizontal="left" indent="2"/>
    </xf>
    <xf numFmtId="0" fontId="13" fillId="0" borderId="0" xfId="0" applyFont="1" applyAlignment="1" applyProtection="1">
      <alignment horizontal="left" vertical="top" wrapText="1"/>
      <protection locked="0"/>
    </xf>
    <xf numFmtId="44" fontId="3" fillId="0" borderId="1" xfId="2" applyFont="1" applyBorder="1" applyAlignment="1" applyProtection="1">
      <alignment horizontal="left"/>
    </xf>
    <xf numFmtId="0" fontId="7" fillId="0" borderId="1" xfId="0" applyFont="1" applyBorder="1" applyAlignment="1">
      <alignment horizontal="center"/>
    </xf>
    <xf numFmtId="0" fontId="3" fillId="0" borderId="0" xfId="0" applyFont="1" applyAlignment="1">
      <alignment horizontal="left"/>
    </xf>
    <xf numFmtId="0" fontId="56" fillId="0" borderId="0" xfId="0" applyFont="1" applyAlignment="1">
      <alignment horizontal="center"/>
    </xf>
  </cellXfs>
  <cellStyles count="7">
    <cellStyle name="Comma" xfId="1" builtinId="3"/>
    <cellStyle name="Comma 2" xfId="6" xr:uid="{00000000-0005-0000-0000-000001000000}"/>
    <cellStyle name="Currency" xfId="2" builtinId="4"/>
    <cellStyle name="Hyperlink" xfId="4" builtinId="8"/>
    <cellStyle name="Normal" xfId="0" builtinId="0"/>
    <cellStyle name="Normal 2" xfId="3" xr:uid="{00000000-0005-0000-0000-000005000000}"/>
    <cellStyle name="Normal 3" xfId="5" xr:uid="{00000000-0005-0000-0000-000006000000}"/>
  </cellStyles>
  <dxfs count="44">
    <dxf>
      <fill>
        <patternFill>
          <bgColor theme="9" tint="0.59996337778862885"/>
        </patternFill>
      </fill>
    </dxf>
    <dxf>
      <font>
        <color theme="0"/>
      </font>
    </dxf>
    <dxf>
      <numFmt numFmtId="171" formatCode="0.0"/>
    </dxf>
    <dxf>
      <fill>
        <patternFill>
          <bgColor rgb="FFFFFF00"/>
        </patternFill>
      </fill>
    </dxf>
    <dxf>
      <numFmt numFmtId="171" formatCode="0.0"/>
    </dxf>
    <dxf>
      <numFmt numFmtId="171" formatCode="0.0"/>
    </dxf>
    <dxf>
      <numFmt numFmtId="172" formatCode="#,##0.0"/>
    </dxf>
    <dxf>
      <numFmt numFmtId="172" formatCode="#,##0.0"/>
    </dxf>
    <dxf>
      <fill>
        <patternFill>
          <bgColor rgb="FFFFFF00"/>
        </patternFill>
      </fill>
    </dxf>
    <dxf>
      <numFmt numFmtId="171" formatCode="0.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patternType="none">
          <bgColor auto="1"/>
        </patternFill>
      </fill>
    </dxf>
    <dxf>
      <fill>
        <patternFill patternType="none">
          <fgColor auto="1"/>
          <bgColor auto="1"/>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ont>
        <color auto="1"/>
      </font>
      <fill>
        <patternFill>
          <bgColor rgb="FFFFFF00"/>
        </patternFill>
      </fill>
    </dxf>
    <dxf>
      <fill>
        <patternFill>
          <bgColor rgb="FFFFFF00"/>
        </patternFill>
      </fill>
    </dxf>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90488</xdr:colOff>
      <xdr:row>0</xdr:row>
      <xdr:rowOff>38100</xdr:rowOff>
    </xdr:from>
    <xdr:to>
      <xdr:col>1</xdr:col>
      <xdr:colOff>498475</xdr:colOff>
      <xdr:row>3</xdr:row>
      <xdr:rowOff>200025</xdr:rowOff>
    </xdr:to>
    <xdr:pic>
      <xdr:nvPicPr>
        <xdr:cNvPr id="2" name="Picture 4">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8" y="38100"/>
          <a:ext cx="1062037"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38100</xdr:rowOff>
    </xdr:from>
    <xdr:ext cx="1057275" cy="957263"/>
    <xdr:pic>
      <xdr:nvPicPr>
        <xdr:cNvPr id="2" name="Picture 5">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38100"/>
          <a:ext cx="1057275" cy="957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sa.gov/travel/plan-book/per-diem-rates/per-diem-rates-lookup" TargetMode="External"/><Relationship Id="rId7" Type="http://schemas.openxmlformats.org/officeDocument/2006/relationships/comments" Target="../comments1.xml"/><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gsa.gov/travel/plan-book/per-diem-rates/per-diem-rates-lookup" TargetMode="External"/><Relationship Id="rId1" Type="http://schemas.openxmlformats.org/officeDocument/2006/relationships/hyperlink" Target="https://www.gsa.gov/travel/plan-book/transportation-airfare-rates-pov-rates/privately-owned-vehicle-pov-mileage-reimbursement-rates"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49"/>
  <sheetViews>
    <sheetView tabSelected="1" zoomScaleNormal="100" workbookViewId="0">
      <selection activeCell="B17" sqref="B17"/>
    </sheetView>
  </sheetViews>
  <sheetFormatPr baseColWidth="10" defaultColWidth="9.1640625" defaultRowHeight="14" x14ac:dyDescent="0.15"/>
  <cols>
    <col min="1" max="1" width="5.5" style="69" customWidth="1"/>
    <col min="2" max="2" width="104.33203125" style="1" customWidth="1"/>
    <col min="3" max="16384" width="9.1640625" style="1"/>
  </cols>
  <sheetData>
    <row r="2" spans="1:2" x14ac:dyDescent="0.15">
      <c r="A2" s="69">
        <v>1</v>
      </c>
      <c r="B2" s="1" t="s">
        <v>54</v>
      </c>
    </row>
    <row r="3" spans="1:2" ht="15" x14ac:dyDescent="0.15">
      <c r="B3" s="11" t="s">
        <v>45</v>
      </c>
    </row>
    <row r="4" spans="1:2" ht="30" x14ac:dyDescent="0.15">
      <c r="B4" s="11" t="s">
        <v>827</v>
      </c>
    </row>
    <row r="5" spans="1:2" ht="30" x14ac:dyDescent="0.15">
      <c r="B5" s="11" t="s">
        <v>52</v>
      </c>
    </row>
    <row r="6" spans="1:2" ht="45" x14ac:dyDescent="0.15">
      <c r="B6" s="11" t="s">
        <v>828</v>
      </c>
    </row>
    <row r="7" spans="1:2" ht="15" x14ac:dyDescent="0.15">
      <c r="B7" s="11" t="s">
        <v>232</v>
      </c>
    </row>
    <row r="8" spans="1:2" ht="15" x14ac:dyDescent="0.15">
      <c r="B8" s="11" t="s">
        <v>829</v>
      </c>
    </row>
    <row r="9" spans="1:2" ht="15" x14ac:dyDescent="0.15">
      <c r="A9" s="70"/>
      <c r="B9" s="11" t="s">
        <v>53</v>
      </c>
    </row>
    <row r="11" spans="1:2" x14ac:dyDescent="0.15">
      <c r="A11" s="69">
        <v>2</v>
      </c>
      <c r="B11" s="1" t="s">
        <v>842</v>
      </c>
    </row>
    <row r="12" spans="1:2" ht="15" x14ac:dyDescent="0.15">
      <c r="B12" s="11" t="s">
        <v>830</v>
      </c>
    </row>
    <row r="13" spans="1:2" ht="15" x14ac:dyDescent="0.15">
      <c r="B13" s="11" t="s">
        <v>831</v>
      </c>
    </row>
    <row r="14" spans="1:2" ht="15" x14ac:dyDescent="0.15">
      <c r="A14" s="70"/>
      <c r="B14" s="11" t="s">
        <v>832</v>
      </c>
    </row>
    <row r="15" spans="1:2" ht="15" x14ac:dyDescent="0.15">
      <c r="A15" s="70"/>
      <c r="B15" s="19" t="s">
        <v>231</v>
      </c>
    </row>
    <row r="16" spans="1:2" ht="15" x14ac:dyDescent="0.15">
      <c r="A16" s="70"/>
      <c r="B16" s="19" t="s">
        <v>1147</v>
      </c>
    </row>
    <row r="17" spans="1:2" ht="15" x14ac:dyDescent="0.15">
      <c r="A17" s="70"/>
      <c r="B17" s="19" t="s">
        <v>833</v>
      </c>
    </row>
    <row r="18" spans="1:2" x14ac:dyDescent="0.15">
      <c r="B18" s="11"/>
    </row>
    <row r="19" spans="1:2" x14ac:dyDescent="0.15">
      <c r="A19" s="69">
        <v>3</v>
      </c>
      <c r="B19" s="1" t="s">
        <v>1146</v>
      </c>
    </row>
    <row r="20" spans="1:2" ht="15" x14ac:dyDescent="0.15">
      <c r="B20" s="11" t="s">
        <v>836</v>
      </c>
    </row>
    <row r="21" spans="1:2" ht="15" x14ac:dyDescent="0.15">
      <c r="B21" s="11" t="s">
        <v>835</v>
      </c>
    </row>
    <row r="22" spans="1:2" ht="15" x14ac:dyDescent="0.15">
      <c r="B22" s="11" t="s">
        <v>834</v>
      </c>
    </row>
    <row r="23" spans="1:2" ht="15" x14ac:dyDescent="0.15">
      <c r="B23" s="11" t="s">
        <v>837</v>
      </c>
    </row>
    <row r="24" spans="1:2" ht="15" x14ac:dyDescent="0.15">
      <c r="B24" s="15" t="s">
        <v>47</v>
      </c>
    </row>
    <row r="25" spans="1:2" x14ac:dyDescent="0.15">
      <c r="B25" s="16" t="s">
        <v>65</v>
      </c>
    </row>
    <row r="27" spans="1:2" x14ac:dyDescent="0.15">
      <c r="A27" s="69">
        <v>5</v>
      </c>
      <c r="B27" s="1" t="s">
        <v>843</v>
      </c>
    </row>
    <row r="28" spans="1:2" ht="15" x14ac:dyDescent="0.15">
      <c r="B28" s="11" t="s">
        <v>66</v>
      </c>
    </row>
    <row r="29" spans="1:2" ht="15" x14ac:dyDescent="0.15">
      <c r="B29" s="19" t="s">
        <v>57</v>
      </c>
    </row>
    <row r="30" spans="1:2" ht="15" x14ac:dyDescent="0.15">
      <c r="B30" s="19" t="s">
        <v>49</v>
      </c>
    </row>
    <row r="31" spans="1:2" ht="15" x14ac:dyDescent="0.15">
      <c r="B31" s="19" t="s">
        <v>51</v>
      </c>
    </row>
    <row r="32" spans="1:2" ht="15" x14ac:dyDescent="0.15">
      <c r="B32" s="19" t="s">
        <v>50</v>
      </c>
    </row>
    <row r="33" spans="1:2" ht="30" x14ac:dyDescent="0.15">
      <c r="B33" s="19" t="s">
        <v>67</v>
      </c>
    </row>
    <row r="34" spans="1:2" ht="15" x14ac:dyDescent="0.15">
      <c r="B34" s="19" t="s">
        <v>56</v>
      </c>
    </row>
    <row r="35" spans="1:2" ht="15" x14ac:dyDescent="0.15">
      <c r="B35" s="19" t="s">
        <v>58</v>
      </c>
    </row>
    <row r="36" spans="1:2" ht="15" x14ac:dyDescent="0.15">
      <c r="B36" s="19" t="s">
        <v>69</v>
      </c>
    </row>
    <row r="37" spans="1:2" x14ac:dyDescent="0.15">
      <c r="B37" s="19"/>
    </row>
    <row r="38" spans="1:2" x14ac:dyDescent="0.15">
      <c r="A38" s="69">
        <v>6</v>
      </c>
      <c r="B38" s="1" t="s">
        <v>59</v>
      </c>
    </row>
    <row r="39" spans="1:2" ht="15" x14ac:dyDescent="0.15">
      <c r="B39" s="11" t="s">
        <v>60</v>
      </c>
    </row>
    <row r="40" spans="1:2" ht="15" x14ac:dyDescent="0.15">
      <c r="B40" s="11" t="s">
        <v>58</v>
      </c>
    </row>
    <row r="41" spans="1:2" ht="15" x14ac:dyDescent="0.15">
      <c r="B41" s="11" t="s">
        <v>70</v>
      </c>
    </row>
    <row r="42" spans="1:2" x14ac:dyDescent="0.15">
      <c r="B42" s="19"/>
    </row>
    <row r="43" spans="1:2" x14ac:dyDescent="0.15">
      <c r="A43" s="69">
        <v>7</v>
      </c>
      <c r="B43" s="1" t="s">
        <v>61</v>
      </c>
    </row>
    <row r="44" spans="1:2" ht="15" x14ac:dyDescent="0.15">
      <c r="B44" s="11" t="s">
        <v>63</v>
      </c>
    </row>
    <row r="45" spans="1:2" ht="15" x14ac:dyDescent="0.15">
      <c r="B45" s="11" t="s">
        <v>55</v>
      </c>
    </row>
    <row r="46" spans="1:2" ht="15" x14ac:dyDescent="0.15">
      <c r="B46" s="11" t="s">
        <v>62</v>
      </c>
    </row>
    <row r="47" spans="1:2" ht="15" x14ac:dyDescent="0.15">
      <c r="B47" s="11" t="s">
        <v>64</v>
      </c>
    </row>
    <row r="49" spans="1:2" x14ac:dyDescent="0.15">
      <c r="A49" s="69">
        <v>8</v>
      </c>
      <c r="B49" s="20" t="s">
        <v>838</v>
      </c>
    </row>
  </sheetData>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3"/>
  <sheetViews>
    <sheetView view="pageBreakPreview" zoomScale="80" zoomScaleNormal="80" zoomScaleSheetLayoutView="80" workbookViewId="0">
      <selection activeCell="C24" sqref="C24:I24"/>
    </sheetView>
  </sheetViews>
  <sheetFormatPr baseColWidth="10" defaultColWidth="9.1640625" defaultRowHeight="16" x14ac:dyDescent="0.2"/>
  <cols>
    <col min="1" max="1" width="14.1640625" style="2" customWidth="1"/>
    <col min="2" max="2" width="6" style="2" customWidth="1"/>
    <col min="3" max="3" width="15.6640625" style="2" customWidth="1"/>
    <col min="4" max="4" width="9.1640625" style="2"/>
    <col min="5" max="5" width="6.5" style="2" customWidth="1"/>
    <col min="6" max="6" width="14" style="2" customWidth="1"/>
    <col min="7" max="7" width="12.5" style="2" customWidth="1"/>
    <col min="8" max="8" width="5" style="2" customWidth="1"/>
    <col min="9" max="9" width="11.83203125" style="2" bestFit="1" customWidth="1"/>
    <col min="10" max="11" width="9.1640625" style="2"/>
    <col min="12" max="12" width="9.6640625" style="2" bestFit="1" customWidth="1"/>
    <col min="13" max="13" width="10" style="2" bestFit="1" customWidth="1"/>
    <col min="14" max="14" width="9.1640625" style="2"/>
    <col min="15" max="15" width="21" style="2" bestFit="1" customWidth="1"/>
    <col min="16" max="16" width="11.5" style="2" customWidth="1"/>
    <col min="17" max="16384" width="9.1640625" style="2"/>
  </cols>
  <sheetData>
    <row r="1" spans="1:10" ht="18" x14ac:dyDescent="0.2">
      <c r="A1" s="418" t="s">
        <v>20</v>
      </c>
      <c r="B1" s="418"/>
      <c r="C1" s="418"/>
      <c r="D1" s="418"/>
      <c r="E1" s="418"/>
      <c r="F1" s="418"/>
      <c r="G1" s="418"/>
      <c r="H1" s="418"/>
      <c r="I1" s="418"/>
    </row>
    <row r="2" spans="1:10" x14ac:dyDescent="0.2">
      <c r="A2" s="419" t="s">
        <v>3</v>
      </c>
      <c r="B2" s="419"/>
      <c r="C2" s="419"/>
      <c r="D2" s="419"/>
      <c r="E2" s="419"/>
      <c r="F2" s="419"/>
      <c r="G2" s="419"/>
      <c r="H2" s="419"/>
      <c r="I2" s="419"/>
    </row>
    <row r="3" spans="1:10" x14ac:dyDescent="0.2">
      <c r="A3" s="419" t="s">
        <v>4</v>
      </c>
      <c r="B3" s="419"/>
      <c r="C3" s="419"/>
      <c r="D3" s="419"/>
      <c r="E3" s="419"/>
      <c r="F3" s="419"/>
      <c r="G3" s="419"/>
      <c r="H3" s="419"/>
      <c r="I3" s="419"/>
    </row>
    <row r="4" spans="1:10" ht="7.5" customHeight="1" x14ac:dyDescent="0.2"/>
    <row r="5" spans="1:10" x14ac:dyDescent="0.2">
      <c r="A5" s="3" t="s">
        <v>0</v>
      </c>
      <c r="B5" s="420"/>
      <c r="C5" s="420"/>
      <c r="D5" s="420"/>
      <c r="E5" s="3" t="s">
        <v>1</v>
      </c>
      <c r="F5" s="420"/>
      <c r="G5" s="420"/>
      <c r="H5" s="420"/>
      <c r="I5" s="420"/>
      <c r="J5" s="2" t="str">
        <f>IF(ISERROR(VLOOKUP(B5,'System Names'!$E$2:$E$274,1,0)),"Important - Name MAY Not Match System","Name Matches System")</f>
        <v>Important - Name MAY Not Match System</v>
      </c>
    </row>
    <row r="6" spans="1:10" x14ac:dyDescent="0.2">
      <c r="A6" s="3" t="s">
        <v>2</v>
      </c>
      <c r="B6" s="420"/>
      <c r="C6" s="420"/>
      <c r="D6" s="420"/>
      <c r="E6" s="3" t="s">
        <v>177</v>
      </c>
      <c r="F6" s="71"/>
      <c r="G6" s="191"/>
      <c r="H6" s="191"/>
      <c r="J6" s="227" t="e">
        <f>VLOOKUP(B5,'System Names'!$E$2:$E$274,1,1)</f>
        <v>#N/A</v>
      </c>
    </row>
    <row r="7" spans="1:10" x14ac:dyDescent="0.2">
      <c r="A7" s="3"/>
      <c r="B7" s="29"/>
      <c r="C7" s="29"/>
      <c r="D7" s="29"/>
      <c r="E7" s="3" t="s">
        <v>815</v>
      </c>
      <c r="F7" s="186" t="s">
        <v>1141</v>
      </c>
      <c r="G7" s="215" t="s">
        <v>816</v>
      </c>
      <c r="H7" s="417">
        <v>26003</v>
      </c>
      <c r="I7" s="417"/>
    </row>
    <row r="8" spans="1:10" ht="7.5" customHeight="1" x14ac:dyDescent="0.2"/>
    <row r="9" spans="1:10" x14ac:dyDescent="0.2">
      <c r="A9" s="422" t="s">
        <v>176</v>
      </c>
      <c r="B9" s="422"/>
      <c r="C9" s="420"/>
      <c r="D9" s="420"/>
      <c r="E9" s="422" t="s">
        <v>75</v>
      </c>
      <c r="F9" s="422"/>
      <c r="G9" s="22"/>
      <c r="H9" s="26" t="s">
        <v>76</v>
      </c>
      <c r="I9" s="22"/>
    </row>
    <row r="10" spans="1:10" ht="7.5" customHeight="1" x14ac:dyDescent="0.2">
      <c r="G10" s="2" t="s">
        <v>817</v>
      </c>
    </row>
    <row r="11" spans="1:10" x14ac:dyDescent="0.2">
      <c r="A11" s="3" t="s">
        <v>172</v>
      </c>
      <c r="B11" s="417"/>
      <c r="C11" s="417"/>
      <c r="D11" s="3" t="s">
        <v>173</v>
      </c>
      <c r="E11" s="3"/>
      <c r="F11" s="423" t="str">
        <f>IFERROR(VLOOKUP(B11,Lookups!A2:B151,2,0),"")</f>
        <v/>
      </c>
      <c r="G11" s="423"/>
      <c r="H11" s="423"/>
      <c r="I11" s="423"/>
    </row>
    <row r="12" spans="1:10" ht="7.5" customHeight="1" x14ac:dyDescent="0.2"/>
    <row r="13" spans="1:10" x14ac:dyDescent="0.2">
      <c r="A13" s="3" t="s">
        <v>37</v>
      </c>
      <c r="B13" s="430"/>
      <c r="C13" s="417"/>
      <c r="D13" s="3" t="s">
        <v>38</v>
      </c>
      <c r="F13" s="430"/>
      <c r="G13" s="417"/>
      <c r="H13" s="29" t="s">
        <v>174</v>
      </c>
      <c r="I13" s="4"/>
    </row>
    <row r="14" spans="1:10" ht="7.5" customHeight="1" x14ac:dyDescent="0.2"/>
    <row r="15" spans="1:10" x14ac:dyDescent="0.2">
      <c r="A15" s="3" t="s">
        <v>6</v>
      </c>
      <c r="B15" s="437"/>
      <c r="C15" s="437"/>
      <c r="D15" s="3" t="s">
        <v>8</v>
      </c>
      <c r="F15" s="432"/>
      <c r="G15" s="432"/>
      <c r="H15" s="28"/>
      <c r="I15" s="4"/>
    </row>
    <row r="16" spans="1:10" x14ac:dyDescent="0.2">
      <c r="A16" s="3" t="s">
        <v>7</v>
      </c>
      <c r="B16" s="437"/>
      <c r="C16" s="437"/>
      <c r="D16" s="3" t="s">
        <v>29</v>
      </c>
      <c r="F16" s="433"/>
      <c r="G16" s="433"/>
      <c r="H16" s="28"/>
      <c r="I16" s="4"/>
    </row>
    <row r="17" spans="1:17" ht="7.5" customHeight="1" x14ac:dyDescent="0.2"/>
    <row r="18" spans="1:17" x14ac:dyDescent="0.2">
      <c r="A18" s="3" t="s">
        <v>44</v>
      </c>
    </row>
    <row r="19" spans="1:17" x14ac:dyDescent="0.2">
      <c r="B19" s="5"/>
      <c r="C19" s="2" t="s">
        <v>21</v>
      </c>
      <c r="E19" s="5"/>
      <c r="F19" s="2" t="s">
        <v>24</v>
      </c>
    </row>
    <row r="20" spans="1:17" x14ac:dyDescent="0.2">
      <c r="B20" s="5"/>
      <c r="C20" s="2" t="s">
        <v>22</v>
      </c>
      <c r="E20" s="5"/>
      <c r="F20" s="2" t="s">
        <v>68</v>
      </c>
    </row>
    <row r="21" spans="1:17" x14ac:dyDescent="0.2">
      <c r="B21" s="5"/>
      <c r="C21" s="2" t="s">
        <v>23</v>
      </c>
      <c r="E21" s="5"/>
      <c r="F21" s="2" t="s">
        <v>25</v>
      </c>
    </row>
    <row r="22" spans="1:17" x14ac:dyDescent="0.2">
      <c r="B22" s="5"/>
      <c r="C22" s="2" t="s">
        <v>19</v>
      </c>
      <c r="D22" s="436"/>
      <c r="E22" s="436"/>
      <c r="F22" s="436"/>
      <c r="G22" s="436"/>
      <c r="H22" s="436"/>
      <c r="I22" s="436"/>
    </row>
    <row r="23" spans="1:17" ht="7.5" customHeight="1" x14ac:dyDescent="0.2"/>
    <row r="24" spans="1:17" x14ac:dyDescent="0.2">
      <c r="A24" s="3" t="s">
        <v>26</v>
      </c>
      <c r="C24" s="434"/>
      <c r="D24" s="434"/>
      <c r="E24" s="434"/>
      <c r="F24" s="434"/>
      <c r="G24" s="434"/>
      <c r="H24" s="434"/>
      <c r="I24" s="434"/>
    </row>
    <row r="25" spans="1:17" ht="7.5" customHeight="1" thickBot="1" x14ac:dyDescent="0.25">
      <c r="O25" s="413"/>
      <c r="P25" s="46"/>
    </row>
    <row r="26" spans="1:17" ht="18" x14ac:dyDescent="0.2">
      <c r="A26" s="422" t="s">
        <v>1019</v>
      </c>
      <c r="B26" s="422"/>
      <c r="C26" s="422"/>
      <c r="D26" s="422"/>
      <c r="E26" s="422"/>
      <c r="G26" s="6" t="s">
        <v>28</v>
      </c>
      <c r="H26" s="6"/>
      <c r="I26" s="6" t="s">
        <v>46</v>
      </c>
      <c r="O26" s="410" t="s">
        <v>1015</v>
      </c>
      <c r="P26" s="41"/>
    </row>
    <row r="27" spans="1:17" ht="18" x14ac:dyDescent="0.2">
      <c r="A27" s="411">
        <v>2</v>
      </c>
      <c r="B27" s="50"/>
      <c r="C27" s="2" t="s">
        <v>1011</v>
      </c>
      <c r="E27" s="21"/>
      <c r="F27" s="2" t="str">
        <f>IF(B27="","","Miles")</f>
        <v/>
      </c>
      <c r="G27" s="4">
        <f>VLOOKUP(C27,O33:P37,2,0)</f>
        <v>0</v>
      </c>
      <c r="H27" s="17"/>
      <c r="I27" s="224"/>
      <c r="J27" s="221" t="str">
        <f>IF(C27="Mileage","May be changed for more economical option","Use GasBuddy.com to enter gas price&gt;&gt;&gt;&gt;")</f>
        <v>Use GasBuddy.com to enter gas price&gt;&gt;&gt;&gt;</v>
      </c>
      <c r="O27" s="42" t="s">
        <v>1014</v>
      </c>
      <c r="P27" s="407">
        <v>3.3</v>
      </c>
    </row>
    <row r="28" spans="1:17" x14ac:dyDescent="0.2">
      <c r="B28" s="5"/>
      <c r="C28" s="2" t="s">
        <v>27</v>
      </c>
      <c r="G28" s="51"/>
      <c r="H28" s="17"/>
      <c r="I28" s="12"/>
      <c r="O28" s="42" t="s">
        <v>1013</v>
      </c>
      <c r="P28" s="408">
        <v>36</v>
      </c>
    </row>
    <row r="29" spans="1:17" x14ac:dyDescent="0.2">
      <c r="B29" s="5"/>
      <c r="C29" s="2" t="s">
        <v>32</v>
      </c>
      <c r="G29" s="51"/>
      <c r="H29" s="17"/>
      <c r="I29" s="12"/>
      <c r="L29" s="2" t="s">
        <v>839</v>
      </c>
      <c r="M29" s="2" t="s">
        <v>840</v>
      </c>
      <c r="O29" s="42" t="s">
        <v>1012</v>
      </c>
      <c r="P29" s="409">
        <v>25</v>
      </c>
    </row>
    <row r="30" spans="1:17" ht="17" thickBot="1" x14ac:dyDescent="0.25">
      <c r="B30" s="5"/>
      <c r="C30" s="2" t="s">
        <v>13</v>
      </c>
      <c r="E30" s="2" t="str">
        <f>IF(B30="X",$B$16-$B$15+1,"")</f>
        <v/>
      </c>
      <c r="F30" s="2" t="str">
        <f>IF(B30="","","Day(s)")</f>
        <v/>
      </c>
      <c r="G30" s="4" t="str">
        <f>IFERROR(E30*M30,"")</f>
        <v/>
      </c>
      <c r="H30" s="17"/>
      <c r="I30" s="12"/>
      <c r="J30" s="2" t="s">
        <v>826</v>
      </c>
      <c r="L30" s="221">
        <v>8</v>
      </c>
      <c r="M30" s="226">
        <v>8</v>
      </c>
      <c r="O30" s="45" t="s">
        <v>1016</v>
      </c>
      <c r="P30" s="414">
        <v>0.67</v>
      </c>
    </row>
    <row r="31" spans="1:17" ht="17" thickBot="1" x14ac:dyDescent="0.25">
      <c r="B31" s="5"/>
      <c r="C31" s="2" t="s">
        <v>31</v>
      </c>
      <c r="E31" s="2" t="str">
        <f>IF(B31="X",$B$16-$B$15,"")</f>
        <v/>
      </c>
      <c r="F31" s="2" t="str">
        <f>IF(B31="","","Night(s)")</f>
        <v/>
      </c>
      <c r="G31" s="4" t="str">
        <f>IFERROR(E31*M31,"")</f>
        <v/>
      </c>
      <c r="H31" s="17"/>
      <c r="I31" s="12"/>
      <c r="J31" s="2" t="s">
        <v>824</v>
      </c>
      <c r="L31" s="221">
        <v>140</v>
      </c>
      <c r="M31" s="226">
        <v>140</v>
      </c>
    </row>
    <row r="32" spans="1:17" x14ac:dyDescent="0.2">
      <c r="B32" s="5"/>
      <c r="C32" s="2" t="s">
        <v>30</v>
      </c>
      <c r="E32" s="2" t="str">
        <f>IF(B32="X",$B$16-$B$15+1,"")</f>
        <v/>
      </c>
      <c r="F32" s="2" t="str">
        <f>IF(B32="","","Day(s)")</f>
        <v/>
      </c>
      <c r="G32" s="4" t="str">
        <f>IFERROR((E32-0.5)*M32,"")</f>
        <v/>
      </c>
      <c r="H32" s="17"/>
      <c r="I32" s="12" t="s">
        <v>175</v>
      </c>
      <c r="J32" s="2" t="s">
        <v>825</v>
      </c>
      <c r="L32" s="221">
        <v>66</v>
      </c>
      <c r="M32" s="226">
        <v>66</v>
      </c>
      <c r="O32" s="410" t="s">
        <v>1018</v>
      </c>
      <c r="P32" s="40"/>
      <c r="Q32" s="41"/>
    </row>
    <row r="33" spans="1:17" x14ac:dyDescent="0.2">
      <c r="B33" s="5"/>
      <c r="C33" s="2" t="s">
        <v>33</v>
      </c>
      <c r="G33" s="7"/>
      <c r="H33" s="17"/>
      <c r="I33" s="12"/>
      <c r="J33" s="2" t="s">
        <v>1008</v>
      </c>
      <c r="L33" s="221">
        <v>49.5</v>
      </c>
      <c r="M33" s="412">
        <v>49.5</v>
      </c>
      <c r="O33" s="42" t="s">
        <v>1011</v>
      </c>
      <c r="P33" s="44">
        <f>E27/P29*P27</f>
        <v>0</v>
      </c>
      <c r="Q33" s="43"/>
    </row>
    <row r="34" spans="1:17" x14ac:dyDescent="0.2">
      <c r="B34" s="5"/>
      <c r="C34" s="2" t="s">
        <v>19</v>
      </c>
      <c r="D34" s="431"/>
      <c r="E34" s="431"/>
      <c r="F34" s="431"/>
      <c r="G34" s="14"/>
      <c r="H34" s="18"/>
      <c r="I34" s="12"/>
      <c r="J34" s="2" t="s">
        <v>341</v>
      </c>
      <c r="L34" s="2">
        <f>B16-B15</f>
        <v>0</v>
      </c>
      <c r="M34" s="21"/>
      <c r="O34" s="42" t="s">
        <v>1017</v>
      </c>
      <c r="P34" s="405">
        <f>E27/P29*P27</f>
        <v>0</v>
      </c>
      <c r="Q34" s="43"/>
    </row>
    <row r="35" spans="1:17" x14ac:dyDescent="0.2">
      <c r="C35" s="3" t="s">
        <v>35</v>
      </c>
      <c r="G35" s="13">
        <f>SUM(G27:G34)</f>
        <v>0</v>
      </c>
      <c r="H35" s="27"/>
      <c r="J35" s="2" t="str">
        <f>IF(C27="Rental Car","Enterprise Acct GAR68Q7 &amp; Billing # 16821844","")</f>
        <v/>
      </c>
      <c r="M35" s="405"/>
      <c r="O35" s="42" t="str">
        <f>"Rental Car"</f>
        <v>Rental Car</v>
      </c>
      <c r="P35" s="405">
        <f>IF(M34="",L34,M34)*P28+E27/P29*P27</f>
        <v>0</v>
      </c>
      <c r="Q35" s="43" t="str">
        <f>IF(M34="",L34,M34)&amp;" Days"</f>
        <v>0 Days</v>
      </c>
    </row>
    <row r="36" spans="1:17" ht="7.5" customHeight="1" x14ac:dyDescent="0.2">
      <c r="O36" s="424" t="s">
        <v>1016</v>
      </c>
      <c r="P36" s="426">
        <f>MROUND(E27*P30,0.01)</f>
        <v>0</v>
      </c>
      <c r="Q36" s="43"/>
    </row>
    <row r="37" spans="1:17" ht="17" thickBot="1" x14ac:dyDescent="0.25">
      <c r="A37" s="421" t="s">
        <v>1021</v>
      </c>
      <c r="B37" s="421"/>
      <c r="C37" s="421"/>
      <c r="D37" s="421"/>
      <c r="E37" s="421"/>
      <c r="F37" s="421"/>
      <c r="G37" s="421"/>
      <c r="H37" s="421"/>
      <c r="I37" s="421"/>
      <c r="O37" s="425"/>
      <c r="P37" s="427"/>
      <c r="Q37" s="47"/>
    </row>
    <row r="38" spans="1:17" x14ac:dyDescent="0.2">
      <c r="A38" s="421" t="s">
        <v>1020</v>
      </c>
      <c r="B38" s="421"/>
      <c r="C38" s="421"/>
      <c r="D38" s="421"/>
      <c r="E38" s="421"/>
      <c r="F38" s="421"/>
      <c r="G38" s="421"/>
      <c r="H38" s="421"/>
      <c r="I38" s="421"/>
    </row>
    <row r="39" spans="1:17" ht="7.5" customHeight="1" x14ac:dyDescent="0.2"/>
    <row r="40" spans="1:17" x14ac:dyDescent="0.2">
      <c r="A40" s="3" t="s">
        <v>72</v>
      </c>
    </row>
    <row r="41" spans="1:17" ht="50" customHeight="1" x14ac:dyDescent="0.2">
      <c r="A41" s="429"/>
      <c r="B41" s="429"/>
      <c r="C41" s="429"/>
      <c r="D41" s="429"/>
      <c r="E41" s="429"/>
      <c r="F41" s="429"/>
      <c r="G41" s="429"/>
      <c r="H41" s="429"/>
      <c r="I41" s="429"/>
    </row>
    <row r="42" spans="1:17" x14ac:dyDescent="0.2">
      <c r="A42" s="3" t="s">
        <v>71</v>
      </c>
      <c r="G42" s="3" t="s">
        <v>74</v>
      </c>
      <c r="H42" s="435"/>
      <c r="I42" s="435"/>
    </row>
    <row r="43" spans="1:17" ht="106.5" customHeight="1" x14ac:dyDescent="0.2">
      <c r="A43" s="428"/>
      <c r="B43" s="428"/>
      <c r="C43" s="428"/>
      <c r="D43" s="428"/>
      <c r="E43" s="428"/>
      <c r="F43" s="428"/>
      <c r="G43" s="428"/>
      <c r="H43" s="428"/>
      <c r="I43" s="428"/>
    </row>
  </sheetData>
  <sheetProtection algorithmName="SHA-512" hashValue="CdwtsZ098jtD4MIC748n4SpKEeu+VeTvpOirXuNBsa5druIjeJk5T9tII6yDni9Nt5cPlzz5ca71u2jgwqV/gQ==" saltValue="kcukRizCR11MlDGnAbPx5w==" spinCount="100000" sheet="1" objects="1" scenarios="1"/>
  <dataConsolidate/>
  <mergeCells count="29">
    <mergeCell ref="O36:O37"/>
    <mergeCell ref="P36:P37"/>
    <mergeCell ref="A43:I43"/>
    <mergeCell ref="A41:I41"/>
    <mergeCell ref="B13:C13"/>
    <mergeCell ref="F13:G13"/>
    <mergeCell ref="A38:I38"/>
    <mergeCell ref="A26:E26"/>
    <mergeCell ref="D34:F34"/>
    <mergeCell ref="F15:G15"/>
    <mergeCell ref="F16:G16"/>
    <mergeCell ref="C24:I24"/>
    <mergeCell ref="H42:I42"/>
    <mergeCell ref="D22:I22"/>
    <mergeCell ref="B15:C15"/>
    <mergeCell ref="B16:C16"/>
    <mergeCell ref="A37:I37"/>
    <mergeCell ref="A9:B9"/>
    <mergeCell ref="C9:D9"/>
    <mergeCell ref="E9:F9"/>
    <mergeCell ref="F11:I11"/>
    <mergeCell ref="B11:C11"/>
    <mergeCell ref="H7:I7"/>
    <mergeCell ref="A1:I1"/>
    <mergeCell ref="A2:I2"/>
    <mergeCell ref="A3:I3"/>
    <mergeCell ref="F5:I5"/>
    <mergeCell ref="B6:D6"/>
    <mergeCell ref="B5:D5"/>
  </mergeCells>
  <conditionalFormatting sqref="B11">
    <cfRule type="cellIs" dxfId="43" priority="37" operator="equal">
      <formula>""</formula>
    </cfRule>
  </conditionalFormatting>
  <conditionalFormatting sqref="B19:B22">
    <cfRule type="expression" dxfId="42" priority="27">
      <formula>AND($B$19="",$B$20="",$B$21="",$B$22="",$E$19="",$E$20="",$E$21="")</formula>
    </cfRule>
  </conditionalFormatting>
  <conditionalFormatting sqref="B13:C13">
    <cfRule type="cellIs" dxfId="41" priority="21" operator="equal">
      <formula>""</formula>
    </cfRule>
  </conditionalFormatting>
  <conditionalFormatting sqref="B15:C16">
    <cfRule type="cellIs" dxfId="40" priority="49" operator="equal">
      <formula>""</formula>
    </cfRule>
  </conditionalFormatting>
  <conditionalFormatting sqref="B5:D6">
    <cfRule type="cellIs" dxfId="39" priority="59" operator="equal">
      <formula>""</formula>
    </cfRule>
  </conditionalFormatting>
  <conditionalFormatting sqref="C9">
    <cfRule type="cellIs" dxfId="38" priority="15" operator="equal">
      <formula>""</formula>
    </cfRule>
  </conditionalFormatting>
  <conditionalFormatting sqref="C24">
    <cfRule type="cellIs" dxfId="37" priority="1" operator="equal">
      <formula>""</formula>
    </cfRule>
  </conditionalFormatting>
  <conditionalFormatting sqref="D34:F34">
    <cfRule type="expression" dxfId="36" priority="17">
      <formula>AND($B$34&lt;&gt;"",$D$34="")</formula>
    </cfRule>
  </conditionalFormatting>
  <conditionalFormatting sqref="D22:I22">
    <cfRule type="expression" dxfId="35" priority="51">
      <formula>AND($B$22&lt;&gt;"",$D$22="")</formula>
    </cfRule>
  </conditionalFormatting>
  <conditionalFormatting sqref="E19:E21">
    <cfRule type="expression" dxfId="34" priority="24">
      <formula>AND($B$19="",$B$20="",$B$21="",$B$22="",$E$19="",$E$20="",$E$21="")</formula>
    </cfRule>
  </conditionalFormatting>
  <conditionalFormatting sqref="E27">
    <cfRule type="expression" dxfId="33" priority="42">
      <formula>AND(B27&lt;&gt;"",E27="")</formula>
    </cfRule>
  </conditionalFormatting>
  <conditionalFormatting sqref="F6:F7">
    <cfRule type="cellIs" dxfId="32" priority="4" operator="equal">
      <formula>""</formula>
    </cfRule>
  </conditionalFormatting>
  <conditionalFormatting sqref="F15:F16">
    <cfRule type="expression" dxfId="31" priority="47">
      <formula>F15=""</formula>
    </cfRule>
  </conditionalFormatting>
  <conditionalFormatting sqref="F13:G13">
    <cfRule type="cellIs" dxfId="30" priority="12" operator="equal">
      <formula>""</formula>
    </cfRule>
  </conditionalFormatting>
  <conditionalFormatting sqref="F5:I5">
    <cfRule type="cellIs" dxfId="29" priority="58" operator="equal">
      <formula>""</formula>
    </cfRule>
  </conditionalFormatting>
  <conditionalFormatting sqref="G9">
    <cfRule type="expression" dxfId="28" priority="14">
      <formula>G9=""</formula>
    </cfRule>
  </conditionalFormatting>
  <conditionalFormatting sqref="G28:G34">
    <cfRule type="expression" dxfId="27" priority="2">
      <formula>AND($B28="X",$G28="")</formula>
    </cfRule>
  </conditionalFormatting>
  <conditionalFormatting sqref="H7">
    <cfRule type="cellIs" dxfId="26" priority="3" operator="equal">
      <formula>""</formula>
    </cfRule>
  </conditionalFormatting>
  <conditionalFormatting sqref="I9">
    <cfRule type="expression" dxfId="25" priority="13">
      <formula>I9=""</formula>
    </cfRule>
  </conditionalFormatting>
  <conditionalFormatting sqref="I27:I34">
    <cfRule type="expression" dxfId="24" priority="11">
      <formula>AND(B27="X",I27="")</formula>
    </cfRule>
  </conditionalFormatting>
  <dataValidations count="7">
    <dataValidation type="list" allowBlank="1" showInputMessage="1" showErrorMessage="1" sqref="C9:D9" xr:uid="{00000000-0002-0000-0100-000001000000}">
      <formula1>"New Martinsville,Weirton,Wheeling"</formula1>
    </dataValidation>
    <dataValidation type="list" showInputMessage="1" showErrorMessage="1" errorTitle="Error" error="Only Dept Number" prompt="Please put in a Dept Number (See Lookup Tab for List)_x000a_" sqref="B11:C11" xr:uid="{00000000-0002-0000-0100-000002000000}">
      <formula1>Dept_Number</formula1>
    </dataValidation>
    <dataValidation type="time" allowBlank="1" showInputMessage="1" showErrorMessage="1" errorTitle="Format Error" error="Use AM / PM format like 8:00 AM or 5:00 PM" promptTitle="AM / PM Format" sqref="G9 I9 F15:G16" xr:uid="{00000000-0002-0000-0100-000003000000}">
      <formula1>0</formula1>
      <formula2>0.999305555555556</formula2>
    </dataValidation>
    <dataValidation type="list" allowBlank="1" showInputMessage="1" showErrorMessage="1" sqref="E19:E21 B19:B22 B27:B34" xr:uid="{00000000-0002-0000-0100-000004000000}">
      <formula1>"X,x"</formula1>
    </dataValidation>
    <dataValidation type="date" allowBlank="1" showInputMessage="1" showErrorMessage="1" sqref="B15:C16" xr:uid="{00000000-0002-0000-0100-000005000000}">
      <formula1>36526</formula1>
      <formula2>73051</formula2>
    </dataValidation>
    <dataValidation type="list" allowBlank="1" showInputMessage="1" showErrorMessage="1" sqref="C27" xr:uid="{448CD517-2460-4DAF-9CCF-9BCBEB407EA3}">
      <formula1>"College Car,Rental Car,Mileage,Gas Reimbursement"</formula1>
    </dataValidation>
    <dataValidation type="list" allowBlank="1" showInputMessage="1" showErrorMessage="1" sqref="I27:I34" xr:uid="{00000000-0002-0000-0100-000000000000}">
      <formula1>"Yes,No"</formula1>
    </dataValidation>
  </dataValidations>
  <pageMargins left="0.5" right="0.5" top="0.75" bottom="0.2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ABA1E352-BB36-49CE-9901-BCD31B7F3DA0}">
            <xm:f>AND(Expenses!$C$3&gt;=$B$15,Expenses!$C$3&lt;=$B$16)</xm:f>
            <x14:dxf/>
          </x14:cfRule>
          <xm:sqref>A3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H55"/>
  <sheetViews>
    <sheetView view="pageBreakPreview" topLeftCell="C1" zoomScale="80" zoomScaleNormal="100" zoomScaleSheetLayoutView="80" workbookViewId="0">
      <pane ySplit="2" topLeftCell="A3" activePane="bottomLeft" state="frozen"/>
      <selection activeCell="B8" sqref="B8"/>
      <selection pane="bottomLeft" activeCell="L8" sqref="L8"/>
    </sheetView>
  </sheetViews>
  <sheetFormatPr baseColWidth="10" defaultColWidth="12.5" defaultRowHeight="14" x14ac:dyDescent="0.15"/>
  <cols>
    <col min="1" max="1" width="8.33203125" style="1" hidden="1" customWidth="1"/>
    <col min="2" max="2" width="11.5" style="1" hidden="1" customWidth="1"/>
    <col min="3" max="4" width="12.5" style="62"/>
    <col min="5" max="6" width="12.5" style="63"/>
    <col min="7" max="7" width="14.5" style="1" customWidth="1"/>
    <col min="8" max="9" width="12.5" style="1" hidden="1" customWidth="1"/>
    <col min="10" max="10" width="12.5" style="1"/>
    <col min="11" max="11" width="23.1640625" style="64" customWidth="1"/>
    <col min="12" max="12" width="13.83203125" style="1" customWidth="1"/>
    <col min="13" max="14" width="12.5" style="64"/>
    <col min="15" max="15" width="12.5" style="1"/>
    <col min="16" max="16" width="15.83203125" style="1" customWidth="1"/>
    <col min="17" max="18" width="26" style="1" customWidth="1"/>
    <col min="19" max="23" width="12.5" style="1" customWidth="1"/>
    <col min="24" max="24" width="8.1640625" style="1" customWidth="1"/>
    <col min="25" max="34" width="12.5" style="1" customWidth="1"/>
    <col min="35" max="16384" width="12.5" style="1"/>
  </cols>
  <sheetData>
    <row r="1" spans="1:34" ht="18" x14ac:dyDescent="0.2">
      <c r="C1" s="438" t="s">
        <v>823</v>
      </c>
      <c r="D1" s="439"/>
      <c r="E1" s="439"/>
      <c r="F1" s="439"/>
      <c r="G1" s="439"/>
      <c r="H1" s="439"/>
      <c r="I1" s="439"/>
      <c r="J1" s="439"/>
      <c r="K1" s="439"/>
      <c r="L1" s="439"/>
      <c r="M1" s="439"/>
      <c r="N1" s="439"/>
      <c r="O1" s="440"/>
      <c r="P1" s="1" t="s">
        <v>821</v>
      </c>
      <c r="S1" s="239"/>
      <c r="T1" s="239"/>
    </row>
    <row r="2" spans="1:34" s="56" customFormat="1" ht="30" customHeight="1" thickBot="1" x14ac:dyDescent="0.2">
      <c r="A2" s="55" t="s">
        <v>335</v>
      </c>
      <c r="B2" s="55" t="s">
        <v>336</v>
      </c>
      <c r="C2" s="200" t="s">
        <v>5</v>
      </c>
      <c r="D2" s="56" t="s">
        <v>339</v>
      </c>
      <c r="E2" s="201" t="s">
        <v>40</v>
      </c>
      <c r="F2" s="56" t="s">
        <v>41</v>
      </c>
      <c r="G2" s="56" t="s">
        <v>9</v>
      </c>
      <c r="H2" s="202" t="s">
        <v>240</v>
      </c>
      <c r="I2" s="202" t="s">
        <v>247</v>
      </c>
      <c r="J2" s="56" t="s">
        <v>338</v>
      </c>
      <c r="K2" s="203" t="s">
        <v>43</v>
      </c>
      <c r="L2" s="56" t="s">
        <v>42</v>
      </c>
      <c r="M2" s="203" t="s">
        <v>48</v>
      </c>
      <c r="N2" s="203" t="s">
        <v>36</v>
      </c>
      <c r="O2" s="204" t="s">
        <v>35</v>
      </c>
      <c r="P2" s="56" t="s">
        <v>841</v>
      </c>
      <c r="S2" s="56" t="s">
        <v>852</v>
      </c>
      <c r="W2" s="68"/>
      <c r="AA2" s="56">
        <v>1</v>
      </c>
      <c r="AB2" s="56">
        <v>2</v>
      </c>
      <c r="AC2" s="56">
        <v>3</v>
      </c>
      <c r="AD2" s="56">
        <v>4</v>
      </c>
      <c r="AE2" s="56">
        <v>5</v>
      </c>
    </row>
    <row r="3" spans="1:34" ht="15" hidden="1" thickBot="1" x14ac:dyDescent="0.2">
      <c r="A3" s="173">
        <f>IF(F3="Yes",1,0)</f>
        <v>0</v>
      </c>
      <c r="B3" s="173">
        <f>IF(I3="Other",1,0)</f>
        <v>0</v>
      </c>
      <c r="C3" s="207">
        <f>Request!B15</f>
        <v>0</v>
      </c>
      <c r="D3" s="208">
        <f>Request!B13</f>
        <v>0</v>
      </c>
      <c r="E3" s="209" t="s">
        <v>175</v>
      </c>
      <c r="F3" s="209" t="s">
        <v>175</v>
      </c>
      <c r="G3" s="210" t="s">
        <v>233</v>
      </c>
      <c r="H3" s="211" t="str">
        <f t="shared" ref="H3:H27" si="0">IF(C3="","",IFERROR(VLOOKUP(G3,$U$7:$W$35,2,0),"Missing"))</f>
        <v>79H132</v>
      </c>
      <c r="I3" s="211" t="str">
        <f t="shared" ref="I3:I27" si="1">IF(C3="","",VLOOKUP(G3,$U$8:$W$35,3,0))</f>
        <v>Car Rental</v>
      </c>
      <c r="J3" s="211" t="s">
        <v>818</v>
      </c>
      <c r="K3" s="205"/>
      <c r="L3" s="205">
        <v>0</v>
      </c>
      <c r="M3" s="205"/>
      <c r="N3" s="205"/>
      <c r="O3" s="206">
        <f t="shared" ref="O3" si="2">IF(C3="",0,IF(G3="Personal Car",L3*0.58,L3+M3-N3))</f>
        <v>0</v>
      </c>
      <c r="S3" s="240"/>
      <c r="T3" s="240"/>
      <c r="Y3" s="1" t="str">
        <f t="shared" ref="Y3:Y31" si="3">C3&amp;D3</f>
        <v>00</v>
      </c>
      <c r="Z3" s="1" t="str">
        <f>VLOOKUP(Y3,Y$3:Y3,1,0)</f>
        <v>00</v>
      </c>
      <c r="AA3" s="1">
        <f t="shared" ref="AA3:AA37" si="4">IFERROR(RANK(AG3,$AG$3:$AG$38,1)*10,"")</f>
        <v>10</v>
      </c>
      <c r="AB3" s="1">
        <f>AA3</f>
        <v>10</v>
      </c>
      <c r="AC3" s="1">
        <f t="shared" ref="AC3:AE3" si="5">AB3</f>
        <v>10</v>
      </c>
      <c r="AD3" s="1">
        <f t="shared" si="5"/>
        <v>10</v>
      </c>
      <c r="AE3" s="1">
        <f t="shared" si="5"/>
        <v>10</v>
      </c>
      <c r="AG3" s="178">
        <f>IF(Z3="","",LEFT(Z3,5)*1)</f>
        <v>0</v>
      </c>
      <c r="AH3" s="1" t="e">
        <f>IF(Z3="","",RIGHT(Z3,LEN(Z3)-5))</f>
        <v>#VALUE!</v>
      </c>
    </row>
    <row r="4" spans="1:34" x14ac:dyDescent="0.15">
      <c r="A4" s="173">
        <f>IF(F4="Yes",A3+1,A3)</f>
        <v>0</v>
      </c>
      <c r="B4" s="173">
        <f>IF(I4="Other",B3+1,B3)</f>
        <v>0</v>
      </c>
      <c r="C4" s="228"/>
      <c r="D4" s="229"/>
      <c r="E4" s="230"/>
      <c r="F4" s="230"/>
      <c r="G4" s="231"/>
      <c r="H4" s="232" t="str">
        <f t="shared" si="0"/>
        <v/>
      </c>
      <c r="I4" s="232" t="str">
        <f t="shared" si="1"/>
        <v/>
      </c>
      <c r="J4" s="233"/>
      <c r="K4" s="234" t="str">
        <f>IF(G4="Gas (Personal)","Enter Mileage, Not $-&gt;&gt;",IF(G4="Personal Car","Enter Mileage, Not $-&gt;&gt;",""))</f>
        <v/>
      </c>
      <c r="L4" s="235"/>
      <c r="M4" s="235"/>
      <c r="N4" s="235"/>
      <c r="O4" s="236">
        <f t="shared" ref="O4" si="6">IF(C4="",0,IF(G4="Personal Car",L4*$E$46,IF(G4="Gas (Personal)",L4/$E$47*$E$49,L4+M4-N4)))</f>
        <v>0</v>
      </c>
      <c r="Q4" s="219" t="str">
        <f t="shared" ref="Q4:Q5" si="7">C4&amp;D4&amp;G4</f>
        <v/>
      </c>
      <c r="R4" s="219" t="s">
        <v>853</v>
      </c>
      <c r="S4" s="241">
        <f>IFERROR(IF(R4="New",VLOOKUP(G4,$U$16:$X$19,4,0)*IF(C4=SMALL($C$4:$C$37,1),0.75,IF(C4=LARGE($C$4:$C$37,1),0.75,1)),0),0)</f>
        <v>0</v>
      </c>
      <c r="T4" s="241"/>
      <c r="Y4" s="1" t="str">
        <f t="shared" si="3"/>
        <v/>
      </c>
      <c r="Z4" s="1" t="str">
        <f>IF(ISERROR(VLOOKUP(Y4,Z$3:Z3,1,0)),Y4,"")</f>
        <v/>
      </c>
      <c r="AA4" s="1" t="str">
        <f t="shared" si="4"/>
        <v/>
      </c>
      <c r="AB4" s="1" t="str">
        <f>IF(AA4="","",IF(ISERROR(VLOOKUP(AA4,AA$3:AA3,1,0)),AA4,VLOOKUP(AA4,AA$3:AA3,1,0)+1))</f>
        <v/>
      </c>
      <c r="AC4" s="1" t="str">
        <f>IF(AB4="","",IF(ISERROR(VLOOKUP(AB4,AB$3:AB3,1,0)),AB4,VLOOKUP(AB4,AB$3:AB3,1,0)+1))</f>
        <v/>
      </c>
      <c r="AD4" s="1" t="str">
        <f>IF(AC4="","",IF(ISERROR(VLOOKUP(AC4,AC$3:AC3,1,0)),AC4,VLOOKUP(AC4,AC$3:AC3,1,0)+1))</f>
        <v/>
      </c>
      <c r="AE4" s="1" t="str">
        <f>IF(AD4="","",IF(ISERROR(VLOOKUP(AD4,AD$3:AD3,1,0)),AD4,VLOOKUP(AD4,AD$3:AD3,1,0)+1))</f>
        <v/>
      </c>
      <c r="AG4" s="178" t="str">
        <f t="shared" ref="AG4:AG26" si="8">IF(Z4="","",LEFT(Z4,5)*1)</f>
        <v/>
      </c>
      <c r="AH4" s="1" t="str">
        <f t="shared" ref="AH4:AH26" si="9">IF(Z4="","",RIGHT(Z4,LEN(Z4)-5))</f>
        <v/>
      </c>
    </row>
    <row r="5" spans="1:34" x14ac:dyDescent="0.15">
      <c r="A5" s="173">
        <f>IF(F5="Yes",A4+1,A4)</f>
        <v>0</v>
      </c>
      <c r="B5" s="173">
        <f>IF(I5="Other",B4+1,B4)</f>
        <v>0</v>
      </c>
      <c r="C5" s="65"/>
      <c r="D5" s="217"/>
      <c r="E5" s="52"/>
      <c r="F5" s="52"/>
      <c r="G5" s="188"/>
      <c r="H5" s="213" t="str">
        <f t="shared" si="0"/>
        <v/>
      </c>
      <c r="I5" s="213" t="str">
        <f t="shared" si="1"/>
        <v/>
      </c>
      <c r="J5" s="174"/>
      <c r="K5" s="23" t="str">
        <f t="shared" ref="K5:K37" si="10">IF(G5="Gas (Personal)","Enter Mileage, Not $-&gt;&gt;",IF(G5="Personal Car","Enter Mileage, Not $-&gt;&gt;",""))</f>
        <v/>
      </c>
      <c r="L5" s="9"/>
      <c r="M5" s="9"/>
      <c r="N5" s="9"/>
      <c r="O5" s="36">
        <f>IF(C5="",0,IF(G5="Personal Car",L5*$E$46,IF(G5="Gas (Personal)",L5/$E$47*$E$49,L5+M5-N5)))</f>
        <v>0</v>
      </c>
      <c r="Q5" s="219" t="str">
        <f t="shared" si="7"/>
        <v/>
      </c>
      <c r="R5" s="219" t="str">
        <f>IFERROR(IF(VLOOKUP(Q5,Q$4:Q4,1,0)=Q5,"","New"),"New")</f>
        <v/>
      </c>
      <c r="S5" s="241">
        <f t="shared" ref="S5:S37" si="11">IFERROR(IF(R5="New",VLOOKUP(G5,$U$16:$X$19,4,0)*IF(C5=SMALL($C$4:$C$37,1),0.75,IF(C5=LARGE($C$4:$C$37,1),0.75,1)),0),0)</f>
        <v>0</v>
      </c>
      <c r="T5" s="241"/>
      <c r="Y5" s="1" t="str">
        <f t="shared" si="3"/>
        <v/>
      </c>
      <c r="Z5" s="1" t="str">
        <f>IF(ISERROR(VLOOKUP(Y5,Z$3:Z4,1,0)),Y5,"")</f>
        <v/>
      </c>
      <c r="AA5" s="1" t="str">
        <f t="shared" si="4"/>
        <v/>
      </c>
      <c r="AB5" s="1" t="str">
        <f>IF(AA5="","",IF(ISERROR(VLOOKUP(AA5,AA$3:AA4,1,0)),AA5,VLOOKUP(AA5,AA$3:AA4,1,0)+1))</f>
        <v/>
      </c>
      <c r="AC5" s="1" t="str">
        <f>IF(AB5="","",IF(ISERROR(VLOOKUP(AB5,AB$3:AB4,1,0)),AB5,VLOOKUP(AB5,AB$3:AB4,1,0)+1))</f>
        <v/>
      </c>
      <c r="AD5" s="1" t="str">
        <f>IF(AC5="","",IF(ISERROR(VLOOKUP(AC5,AC$3:AC4,1,0)),AC5,VLOOKUP(AC5,AC$3:AC4,1,0)+1))</f>
        <v/>
      </c>
      <c r="AE5" s="1" t="str">
        <f>IF(AD5="","",IF(ISERROR(VLOOKUP(AD5,AD$3:AD4,1,0)),AD5,VLOOKUP(AD5,AD$3:AD4,1,0)+1))</f>
        <v/>
      </c>
      <c r="AG5" s="178" t="str">
        <f t="shared" si="8"/>
        <v/>
      </c>
      <c r="AH5" s="1" t="str">
        <f t="shared" si="9"/>
        <v/>
      </c>
    </row>
    <row r="6" spans="1:34" x14ac:dyDescent="0.15">
      <c r="A6" s="173">
        <f>IF(F6="Yes",A5+1,A5)</f>
        <v>0</v>
      </c>
      <c r="B6" s="173">
        <f>IF(I6="Other",B5+1,B5)</f>
        <v>0</v>
      </c>
      <c r="C6" s="67"/>
      <c r="D6" s="218"/>
      <c r="E6" s="54"/>
      <c r="F6" s="54"/>
      <c r="G6" s="190"/>
      <c r="H6" s="214" t="str">
        <f t="shared" si="0"/>
        <v/>
      </c>
      <c r="I6" s="214" t="str">
        <f t="shared" si="1"/>
        <v/>
      </c>
      <c r="J6" s="176"/>
      <c r="K6" s="25" t="str">
        <f t="shared" si="10"/>
        <v/>
      </c>
      <c r="L6" s="10"/>
      <c r="M6" s="10"/>
      <c r="N6" s="10"/>
      <c r="O6" s="57">
        <f t="shared" ref="O6:O37" si="12">IF(C6="",0,IF(G6="Personal Car",L6*$E$46,IF(G6="Gas (Personal)",L6/$E$47*$E$49,L6+M6-N6)))</f>
        <v>0</v>
      </c>
      <c r="Q6" s="219" t="str">
        <f t="shared" ref="Q6:Q37" si="13">C6&amp;D6&amp;G6</f>
        <v/>
      </c>
      <c r="R6" s="219" t="str">
        <f>IFERROR(IF(VLOOKUP(Q6,Q$4:Q5,1,0)=Q6,"","New"),"New")</f>
        <v/>
      </c>
      <c r="S6" s="241">
        <f t="shared" si="11"/>
        <v>0</v>
      </c>
      <c r="T6" s="241"/>
      <c r="U6" s="443" t="s">
        <v>822</v>
      </c>
      <c r="V6" s="443"/>
      <c r="W6" s="443"/>
      <c r="Y6" s="1" t="str">
        <f t="shared" si="3"/>
        <v/>
      </c>
      <c r="Z6" s="1" t="str">
        <f>IF(ISERROR(VLOOKUP(Y6,Z$3:Z5,1,0)),Y6,"")</f>
        <v/>
      </c>
      <c r="AA6" s="1" t="str">
        <f t="shared" si="4"/>
        <v/>
      </c>
      <c r="AB6" s="1" t="str">
        <f>IF(AA6="","",IF(ISERROR(VLOOKUP(AA6,AA$3:AA5,1,0)),AA6,VLOOKUP(AA6,AA$3:AA5,1,0)+1))</f>
        <v/>
      </c>
      <c r="AC6" s="1" t="str">
        <f>IF(AB6="","",IF(ISERROR(VLOOKUP(AB6,AB$3:AB5,1,0)),AB6,VLOOKUP(AB6,AB$3:AB5,1,0)+1))</f>
        <v/>
      </c>
      <c r="AD6" s="1" t="str">
        <f>IF(AC6="","",IF(ISERROR(VLOOKUP(AC6,AC$3:AC5,1,0)),AC6,VLOOKUP(AC6,AC$3:AC5,1,0)+1))</f>
        <v/>
      </c>
      <c r="AE6" s="1" t="str">
        <f>IF(AD6="","",IF(ISERROR(VLOOKUP(AD6,AD$3:AD5,1,0)),AD6,VLOOKUP(AD6,AD$3:AD5,1,0)+1))</f>
        <v/>
      </c>
      <c r="AG6" s="178" t="str">
        <f t="shared" si="8"/>
        <v/>
      </c>
      <c r="AH6" s="1" t="str">
        <f t="shared" si="9"/>
        <v/>
      </c>
    </row>
    <row r="7" spans="1:34" x14ac:dyDescent="0.15">
      <c r="A7" s="173">
        <f>IF(F7="Yes",A6+1,A6)</f>
        <v>0</v>
      </c>
      <c r="B7" s="173">
        <f>IF(I7="Other",B6+1,B6)</f>
        <v>0</v>
      </c>
      <c r="C7" s="66"/>
      <c r="D7" s="216"/>
      <c r="E7" s="53"/>
      <c r="F7" s="53"/>
      <c r="G7" s="189"/>
      <c r="H7" s="212" t="str">
        <f t="shared" si="0"/>
        <v/>
      </c>
      <c r="I7" s="212" t="str">
        <f t="shared" si="1"/>
        <v/>
      </c>
      <c r="J7" s="175"/>
      <c r="K7" s="24" t="str">
        <f t="shared" si="10"/>
        <v/>
      </c>
      <c r="L7" s="9"/>
      <c r="M7" s="8"/>
      <c r="N7" s="8"/>
      <c r="O7" s="36">
        <f t="shared" si="12"/>
        <v>0</v>
      </c>
      <c r="Q7" s="219" t="str">
        <f t="shared" si="13"/>
        <v/>
      </c>
      <c r="R7" s="219" t="str">
        <f>IFERROR(IF(VLOOKUP(Q7,Q$4:Q6,1,0)=Q7,"","New"),"New")</f>
        <v/>
      </c>
      <c r="S7" s="241">
        <f t="shared" si="11"/>
        <v>0</v>
      </c>
      <c r="T7" s="241"/>
      <c r="U7" s="20" t="s">
        <v>9</v>
      </c>
      <c r="V7" s="20" t="s">
        <v>241</v>
      </c>
      <c r="W7" s="20" t="s">
        <v>820</v>
      </c>
      <c r="Y7" s="1" t="str">
        <f t="shared" si="3"/>
        <v/>
      </c>
      <c r="Z7" s="1" t="str">
        <f>IF(ISERROR(VLOOKUP(Y7,Z$3:Z6,1,0)),Y7,"")</f>
        <v/>
      </c>
      <c r="AA7" s="1" t="str">
        <f t="shared" si="4"/>
        <v/>
      </c>
      <c r="AB7" s="1" t="str">
        <f>IF(AA7="","",IF(ISERROR(VLOOKUP(AA7,AA$3:AA6,1,0)),AA7,VLOOKUP(AA7,AA$3:AA6,1,0)+1))</f>
        <v/>
      </c>
      <c r="AC7" s="1" t="str">
        <f>IF(AB7="","",IF(ISERROR(VLOOKUP(AB7,AB$3:AB6,1,0)),AB7,VLOOKUP(AB7,AB$3:AB6,1,0)+1))</f>
        <v/>
      </c>
      <c r="AD7" s="1" t="str">
        <f>IF(AC7="","",IF(ISERROR(VLOOKUP(AC7,AC$3:AC6,1,0)),AC7,VLOOKUP(AC7,AC$3:AC6,1,0)+1))</f>
        <v/>
      </c>
      <c r="AE7" s="1" t="str">
        <f>IF(AD7="","",IF(ISERROR(VLOOKUP(AD7,AD$3:AD6,1,0)),AD7,VLOOKUP(AD7,AD$3:AD6,1,0)+1))</f>
        <v/>
      </c>
      <c r="AG7" s="178" t="str">
        <f t="shared" si="8"/>
        <v/>
      </c>
      <c r="AH7" s="1" t="str">
        <f t="shared" si="9"/>
        <v/>
      </c>
    </row>
    <row r="8" spans="1:34" x14ac:dyDescent="0.15">
      <c r="A8" s="173">
        <f t="shared" ref="A8:A31" si="14">IF(F8="Yes",A7+1,A7)</f>
        <v>0</v>
      </c>
      <c r="B8" s="173">
        <f t="shared" ref="B8:B31" si="15">IF(I8="Other",B7+1,B7)</f>
        <v>0</v>
      </c>
      <c r="C8" s="65"/>
      <c r="D8" s="217"/>
      <c r="E8" s="52"/>
      <c r="F8" s="52"/>
      <c r="G8" s="188"/>
      <c r="H8" s="213" t="str">
        <f t="shared" si="0"/>
        <v/>
      </c>
      <c r="I8" s="213" t="str">
        <f t="shared" si="1"/>
        <v/>
      </c>
      <c r="J8" s="174"/>
      <c r="K8" s="23" t="str">
        <f t="shared" si="10"/>
        <v/>
      </c>
      <c r="L8" s="9"/>
      <c r="M8" s="9"/>
      <c r="N8" s="9"/>
      <c r="O8" s="36">
        <f t="shared" si="12"/>
        <v>0</v>
      </c>
      <c r="Q8" s="219" t="str">
        <f t="shared" si="13"/>
        <v/>
      </c>
      <c r="R8" s="219" t="str">
        <f>IFERROR(IF(VLOOKUP(Q8,Q$4:Q7,1,0)=Q8,"","New"),"New")</f>
        <v/>
      </c>
      <c r="S8" s="241">
        <f t="shared" si="11"/>
        <v>0</v>
      </c>
      <c r="T8" s="241"/>
      <c r="U8" s="1" t="s">
        <v>10</v>
      </c>
      <c r="V8" s="1" t="s">
        <v>239</v>
      </c>
      <c r="W8" s="1" t="s">
        <v>334</v>
      </c>
      <c r="Y8" s="1" t="str">
        <f t="shared" si="3"/>
        <v/>
      </c>
      <c r="Z8" s="1" t="str">
        <f>IF(ISERROR(VLOOKUP(Y8,Z$3:Z7,1,0)),Y8,"")</f>
        <v/>
      </c>
      <c r="AA8" s="1" t="str">
        <f t="shared" si="4"/>
        <v/>
      </c>
      <c r="AB8" s="1" t="str">
        <f>IF(AA8="","",IF(ISERROR(VLOOKUP(AA8,AA$3:AA7,1,0)),AA8,VLOOKUP(AA8,AA$3:AA7,1,0)+1))</f>
        <v/>
      </c>
      <c r="AC8" s="1" t="str">
        <f>IF(AB8="","",IF(ISERROR(VLOOKUP(AB8,AB$3:AB7,1,0)),AB8,VLOOKUP(AB8,AB$3:AB7,1,0)+1))</f>
        <v/>
      </c>
      <c r="AD8" s="1" t="str">
        <f>IF(AC8="","",IF(ISERROR(VLOOKUP(AC8,AC$3:AC7,1,0)),AC8,VLOOKUP(AC8,AC$3:AC7,1,0)+1))</f>
        <v/>
      </c>
      <c r="AE8" s="1" t="str">
        <f>IF(AD8="","",IF(ISERROR(VLOOKUP(AD8,AD$3:AD7,1,0)),AD8,VLOOKUP(AD8,AD$3:AD7,1,0)+1))</f>
        <v/>
      </c>
      <c r="AG8" s="178" t="str">
        <f t="shared" si="8"/>
        <v/>
      </c>
      <c r="AH8" s="1" t="str">
        <f t="shared" si="9"/>
        <v/>
      </c>
    </row>
    <row r="9" spans="1:34" x14ac:dyDescent="0.15">
      <c r="A9" s="173">
        <f t="shared" si="14"/>
        <v>0</v>
      </c>
      <c r="B9" s="173">
        <f t="shared" si="15"/>
        <v>0</v>
      </c>
      <c r="C9" s="67"/>
      <c r="D9" s="218"/>
      <c r="E9" s="54"/>
      <c r="F9" s="54"/>
      <c r="G9" s="190"/>
      <c r="H9" s="214" t="str">
        <f t="shared" si="0"/>
        <v/>
      </c>
      <c r="I9" s="214" t="str">
        <f t="shared" si="1"/>
        <v/>
      </c>
      <c r="J9" s="176"/>
      <c r="K9" s="25" t="str">
        <f t="shared" si="10"/>
        <v/>
      </c>
      <c r="L9" s="10"/>
      <c r="M9" s="10"/>
      <c r="N9" s="10"/>
      <c r="O9" s="57">
        <f t="shared" si="12"/>
        <v>0</v>
      </c>
      <c r="Q9" s="219" t="str">
        <f t="shared" si="13"/>
        <v/>
      </c>
      <c r="R9" s="219" t="str">
        <f>IFERROR(IF(VLOOKUP(Q9,Q$4:Q8,1,0)=Q9,"","New"),"New")</f>
        <v/>
      </c>
      <c r="S9" s="241">
        <f t="shared" si="11"/>
        <v>0</v>
      </c>
      <c r="T9" s="241"/>
      <c r="U9" s="1" t="s">
        <v>233</v>
      </c>
      <c r="V9" s="1" t="s">
        <v>246</v>
      </c>
      <c r="W9" s="1" t="s">
        <v>341</v>
      </c>
      <c r="Y9" s="1" t="str">
        <f t="shared" si="3"/>
        <v/>
      </c>
      <c r="Z9" s="1" t="str">
        <f>IF(ISERROR(VLOOKUP(Y9,Z$3:Z8,1,0)),Y9,"")</f>
        <v/>
      </c>
      <c r="AA9" s="1" t="str">
        <f t="shared" si="4"/>
        <v/>
      </c>
      <c r="AB9" s="1" t="str">
        <f>IF(AA9="","",IF(ISERROR(VLOOKUP(AA9,AA$3:AA8,1,0)),AA9,VLOOKUP(AA9,AA$3:AA8,1,0)+1))</f>
        <v/>
      </c>
      <c r="AC9" s="1" t="str">
        <f>IF(AB9="","",IF(ISERROR(VLOOKUP(AB9,AB$3:AB8,1,0)),AB9,VLOOKUP(AB9,AB$3:AB8,1,0)+1))</f>
        <v/>
      </c>
      <c r="AD9" s="1" t="str">
        <f>IF(AC9="","",IF(ISERROR(VLOOKUP(AC9,AC$3:AC8,1,0)),AC9,VLOOKUP(AC9,AC$3:AC8,1,0)+1))</f>
        <v/>
      </c>
      <c r="AE9" s="1" t="str">
        <f>IF(AD9="","",IF(ISERROR(VLOOKUP(AD9,AD$3:AD8,1,0)),AD9,VLOOKUP(AD9,AD$3:AD8,1,0)+1))</f>
        <v/>
      </c>
      <c r="AG9" s="178" t="str">
        <f t="shared" si="8"/>
        <v/>
      </c>
      <c r="AH9" s="1" t="str">
        <f t="shared" si="9"/>
        <v/>
      </c>
    </row>
    <row r="10" spans="1:34" x14ac:dyDescent="0.15">
      <c r="A10" s="173">
        <f t="shared" si="14"/>
        <v>0</v>
      </c>
      <c r="B10" s="173">
        <f t="shared" si="15"/>
        <v>0</v>
      </c>
      <c r="C10" s="66"/>
      <c r="D10" s="216"/>
      <c r="E10" s="53"/>
      <c r="F10" s="53"/>
      <c r="G10" s="189"/>
      <c r="H10" s="212" t="str">
        <f t="shared" si="0"/>
        <v/>
      </c>
      <c r="I10" s="212" t="str">
        <f t="shared" si="1"/>
        <v/>
      </c>
      <c r="J10" s="175"/>
      <c r="K10" s="24" t="str">
        <f t="shared" si="10"/>
        <v/>
      </c>
      <c r="L10" s="9"/>
      <c r="M10" s="8"/>
      <c r="N10" s="8"/>
      <c r="O10" s="36">
        <f t="shared" si="12"/>
        <v>0</v>
      </c>
      <c r="Q10" s="219" t="str">
        <f t="shared" si="13"/>
        <v/>
      </c>
      <c r="R10" s="219" t="str">
        <f>IFERROR(IF(VLOOKUP(Q10,Q$4:Q9,1,0)=Q10,"","New"),"New")</f>
        <v/>
      </c>
      <c r="S10" s="241">
        <f t="shared" si="11"/>
        <v>0</v>
      </c>
      <c r="T10" s="241"/>
      <c r="U10" s="1" t="s">
        <v>235</v>
      </c>
      <c r="V10" s="1" t="s">
        <v>243</v>
      </c>
      <c r="W10" s="1" t="s">
        <v>19</v>
      </c>
      <c r="Y10" s="1" t="str">
        <f t="shared" si="3"/>
        <v/>
      </c>
      <c r="Z10" s="1" t="str">
        <f>IF(ISERROR(VLOOKUP(Y10,Z$3:Z9,1,0)),Y10,"")</f>
        <v/>
      </c>
      <c r="AA10" s="1" t="str">
        <f t="shared" si="4"/>
        <v/>
      </c>
      <c r="AB10" s="1" t="str">
        <f>IF(AA10="","",IF(ISERROR(VLOOKUP(AA10,AA$3:AA9,1,0)),AA10,VLOOKUP(AA10,AA$3:AA9,1,0)+1))</f>
        <v/>
      </c>
      <c r="AC10" s="1" t="str">
        <f>IF(AB10="","",IF(ISERROR(VLOOKUP(AB10,AB$3:AB9,1,0)),AB10,VLOOKUP(AB10,AB$3:AB9,1,0)+1))</f>
        <v/>
      </c>
      <c r="AD10" s="1" t="str">
        <f>IF(AC10="","",IF(ISERROR(VLOOKUP(AC10,AC$3:AC9,1,0)),AC10,VLOOKUP(AC10,AC$3:AC9,1,0)+1))</f>
        <v/>
      </c>
      <c r="AE10" s="1" t="str">
        <f>IF(AD10="","",IF(ISERROR(VLOOKUP(AD10,AD$3:AD9,1,0)),AD10,VLOOKUP(AD10,AD$3:AD9,1,0)+1))</f>
        <v/>
      </c>
      <c r="AG10" s="178" t="str">
        <f t="shared" si="8"/>
        <v/>
      </c>
      <c r="AH10" s="1" t="str">
        <f t="shared" si="9"/>
        <v/>
      </c>
    </row>
    <row r="11" spans="1:34" x14ac:dyDescent="0.15">
      <c r="A11" s="173">
        <f t="shared" si="14"/>
        <v>0</v>
      </c>
      <c r="B11" s="173">
        <f t="shared" si="15"/>
        <v>0</v>
      </c>
      <c r="C11" s="65"/>
      <c r="D11" s="217"/>
      <c r="E11" s="52"/>
      <c r="F11" s="52"/>
      <c r="G11" s="188"/>
      <c r="H11" s="213" t="str">
        <f t="shared" si="0"/>
        <v/>
      </c>
      <c r="I11" s="213" t="str">
        <f t="shared" si="1"/>
        <v/>
      </c>
      <c r="J11" s="174"/>
      <c r="K11" s="23" t="str">
        <f t="shared" si="10"/>
        <v/>
      </c>
      <c r="L11" s="9"/>
      <c r="M11" s="9"/>
      <c r="N11" s="9"/>
      <c r="O11" s="36">
        <f t="shared" si="12"/>
        <v>0</v>
      </c>
      <c r="Q11" s="219" t="str">
        <f t="shared" si="13"/>
        <v/>
      </c>
      <c r="R11" s="219" t="str">
        <f>IFERROR(IF(VLOOKUP(Q11,Q$4:Q10,1,0)=Q11,"","New"),"New")</f>
        <v/>
      </c>
      <c r="S11" s="241">
        <f t="shared" si="11"/>
        <v>0</v>
      </c>
      <c r="T11" s="241"/>
      <c r="U11" s="1" t="s">
        <v>234</v>
      </c>
      <c r="V11" s="1" t="s">
        <v>243</v>
      </c>
      <c r="W11" s="1" t="s">
        <v>19</v>
      </c>
      <c r="Y11" s="1" t="str">
        <f t="shared" si="3"/>
        <v/>
      </c>
      <c r="Z11" s="1" t="str">
        <f>IF(ISERROR(VLOOKUP(Y11,Z$3:Z10,1,0)),Y11,"")</f>
        <v/>
      </c>
      <c r="AA11" s="1" t="str">
        <f t="shared" si="4"/>
        <v/>
      </c>
      <c r="AB11" s="1" t="str">
        <f>IF(AA11="","",IF(ISERROR(VLOOKUP(AA11,AA$3:AA10,1,0)),AA11,VLOOKUP(AA11,AA$3:AA10,1,0)+1))</f>
        <v/>
      </c>
      <c r="AC11" s="1" t="str">
        <f>IF(AB11="","",IF(ISERROR(VLOOKUP(AB11,AB$3:AB10,1,0)),AB11,VLOOKUP(AB11,AB$3:AB10,1,0)+1))</f>
        <v/>
      </c>
      <c r="AD11" s="1" t="str">
        <f>IF(AC11="","",IF(ISERROR(VLOOKUP(AC11,AC$3:AC10,1,0)),AC11,VLOOKUP(AC11,AC$3:AC10,1,0)+1))</f>
        <v/>
      </c>
      <c r="AE11" s="1" t="str">
        <f>IF(AD11="","",IF(ISERROR(VLOOKUP(AD11,AD$3:AD10,1,0)),AD11,VLOOKUP(AD11,AD$3:AD10,1,0)+1))</f>
        <v/>
      </c>
      <c r="AG11" s="178" t="str">
        <f t="shared" si="8"/>
        <v/>
      </c>
      <c r="AH11" s="1" t="str">
        <f t="shared" si="9"/>
        <v/>
      </c>
    </row>
    <row r="12" spans="1:34" x14ac:dyDescent="0.15">
      <c r="A12" s="173">
        <f t="shared" si="14"/>
        <v>0</v>
      </c>
      <c r="B12" s="173">
        <f t="shared" si="15"/>
        <v>0</v>
      </c>
      <c r="C12" s="67"/>
      <c r="D12" s="218"/>
      <c r="E12" s="54"/>
      <c r="F12" s="54"/>
      <c r="G12" s="190"/>
      <c r="H12" s="214" t="str">
        <f t="shared" si="0"/>
        <v/>
      </c>
      <c r="I12" s="214" t="str">
        <f t="shared" si="1"/>
        <v/>
      </c>
      <c r="J12" s="176"/>
      <c r="K12" s="25" t="str">
        <f t="shared" si="10"/>
        <v/>
      </c>
      <c r="L12" s="10"/>
      <c r="M12" s="10"/>
      <c r="N12" s="10"/>
      <c r="O12" s="57">
        <f t="shared" si="12"/>
        <v>0</v>
      </c>
      <c r="Q12" s="219" t="str">
        <f t="shared" si="13"/>
        <v/>
      </c>
      <c r="R12" s="219" t="str">
        <f>IFERROR(IF(VLOOKUP(Q12,Q$4:Q11,1,0)=Q12,"","New"),"New")</f>
        <v/>
      </c>
      <c r="S12" s="241">
        <f t="shared" si="11"/>
        <v>0</v>
      </c>
      <c r="T12" s="241"/>
      <c r="U12" s="1" t="s">
        <v>1010</v>
      </c>
      <c r="V12" s="1" t="s">
        <v>243</v>
      </c>
      <c r="W12" s="1" t="s">
        <v>19</v>
      </c>
      <c r="Y12" s="1" t="str">
        <f t="shared" si="3"/>
        <v/>
      </c>
      <c r="Z12" s="1" t="str">
        <f>IF(ISERROR(VLOOKUP(Y12,Z$3:Z11,1,0)),Y12,"")</f>
        <v/>
      </c>
      <c r="AA12" s="1" t="str">
        <f t="shared" si="4"/>
        <v/>
      </c>
      <c r="AB12" s="1" t="str">
        <f>IF(AA12="","",IF(ISERROR(VLOOKUP(AA12,AA$3:AA11,1,0)),AA12,VLOOKUP(AA12,AA$3:AA11,1,0)+1))</f>
        <v/>
      </c>
      <c r="AC12" s="1" t="str">
        <f>IF(AB12="","",IF(ISERROR(VLOOKUP(AB12,AB$3:AB11,1,0)),AB12,VLOOKUP(AB12,AB$3:AB11,1,0)+1))</f>
        <v/>
      </c>
      <c r="AD12" s="1" t="str">
        <f>IF(AC12="","",IF(ISERROR(VLOOKUP(AC12,AC$3:AC11,1,0)),AC12,VLOOKUP(AC12,AC$3:AC11,1,0)+1))</f>
        <v/>
      </c>
      <c r="AE12" s="1" t="str">
        <f>IF(AD12="","",IF(ISERROR(VLOOKUP(AD12,AD$3:AD11,1,0)),AD12,VLOOKUP(AD12,AD$3:AD11,1,0)+1))</f>
        <v/>
      </c>
      <c r="AG12" s="178" t="str">
        <f t="shared" si="8"/>
        <v/>
      </c>
      <c r="AH12" s="1" t="str">
        <f t="shared" si="9"/>
        <v/>
      </c>
    </row>
    <row r="13" spans="1:34" x14ac:dyDescent="0.15">
      <c r="A13" s="173">
        <f t="shared" si="14"/>
        <v>0</v>
      </c>
      <c r="B13" s="173">
        <f t="shared" si="15"/>
        <v>0</v>
      </c>
      <c r="C13" s="66"/>
      <c r="D13" s="216"/>
      <c r="E13" s="53"/>
      <c r="F13" s="53"/>
      <c r="G13" s="189"/>
      <c r="H13" s="212" t="str">
        <f t="shared" si="0"/>
        <v/>
      </c>
      <c r="I13" s="212" t="str">
        <f t="shared" si="1"/>
        <v/>
      </c>
      <c r="J13" s="175"/>
      <c r="K13" s="24" t="str">
        <f t="shared" si="10"/>
        <v/>
      </c>
      <c r="L13" s="9"/>
      <c r="M13" s="8"/>
      <c r="N13" s="8"/>
      <c r="O13" s="36">
        <f t="shared" si="12"/>
        <v>0</v>
      </c>
      <c r="Q13" s="219" t="str">
        <f t="shared" si="13"/>
        <v/>
      </c>
      <c r="R13" s="219" t="str">
        <f>IFERROR(IF(VLOOKUP(Q13,Q$4:Q12,1,0)=Q13,"","New"),"New")</f>
        <v/>
      </c>
      <c r="S13" s="241">
        <f t="shared" si="11"/>
        <v>0</v>
      </c>
      <c r="T13" s="241"/>
      <c r="U13" s="1" t="s">
        <v>13</v>
      </c>
      <c r="V13" s="1" t="s">
        <v>239</v>
      </c>
      <c r="W13" s="1" t="s">
        <v>19</v>
      </c>
      <c r="Y13" s="1" t="str">
        <f t="shared" si="3"/>
        <v/>
      </c>
      <c r="Z13" s="1" t="str">
        <f>IF(ISERROR(VLOOKUP(Y13,Z$3:Z12,1,0)),Y13,"")</f>
        <v/>
      </c>
      <c r="AA13" s="1" t="str">
        <f t="shared" si="4"/>
        <v/>
      </c>
      <c r="AB13" s="1" t="str">
        <f>IF(AA13="","",IF(ISERROR(VLOOKUP(AA13,AA$3:AA12,1,0)),AA13,VLOOKUP(AA13,AA$3:AA12,1,0)+1))</f>
        <v/>
      </c>
      <c r="AC13" s="1" t="str">
        <f>IF(AB13="","",IF(ISERROR(VLOOKUP(AB13,AB$3:AB12,1,0)),AB13,VLOOKUP(AB13,AB$3:AB12,1,0)+1))</f>
        <v/>
      </c>
      <c r="AD13" s="1" t="str">
        <f>IF(AC13="","",IF(ISERROR(VLOOKUP(AC13,AC$3:AC12,1,0)),AC13,VLOOKUP(AC13,AC$3:AC12,1,0)+1))</f>
        <v/>
      </c>
      <c r="AE13" s="1" t="str">
        <f>IF(AD13="","",IF(ISERROR(VLOOKUP(AD13,AD$3:AD12,1,0)),AD13,VLOOKUP(AD13,AD$3:AD12,1,0)+1))</f>
        <v/>
      </c>
      <c r="AG13" s="178" t="str">
        <f t="shared" si="8"/>
        <v/>
      </c>
      <c r="AH13" s="1" t="str">
        <f t="shared" si="9"/>
        <v/>
      </c>
    </row>
    <row r="14" spans="1:34" x14ac:dyDescent="0.15">
      <c r="A14" s="173">
        <f t="shared" si="14"/>
        <v>0</v>
      </c>
      <c r="B14" s="173">
        <f t="shared" si="15"/>
        <v>0</v>
      </c>
      <c r="C14" s="65"/>
      <c r="D14" s="217"/>
      <c r="E14" s="52"/>
      <c r="F14" s="52"/>
      <c r="G14" s="188"/>
      <c r="H14" s="213" t="str">
        <f t="shared" si="0"/>
        <v/>
      </c>
      <c r="I14" s="213" t="str">
        <f t="shared" si="1"/>
        <v/>
      </c>
      <c r="J14" s="174"/>
      <c r="K14" s="23" t="str">
        <f t="shared" si="10"/>
        <v/>
      </c>
      <c r="L14" s="9"/>
      <c r="M14" s="9"/>
      <c r="N14" s="9"/>
      <c r="O14" s="36">
        <f t="shared" si="12"/>
        <v>0</v>
      </c>
      <c r="Q14" s="219" t="str">
        <f t="shared" si="13"/>
        <v/>
      </c>
      <c r="R14" s="219" t="str">
        <f>IFERROR(IF(VLOOKUP(Q14,Q$4:Q13,1,0)=Q14,"","New"),"New")</f>
        <v/>
      </c>
      <c r="S14" s="241">
        <f t="shared" si="11"/>
        <v>0</v>
      </c>
      <c r="T14" s="241"/>
      <c r="U14" s="1" t="s">
        <v>250</v>
      </c>
      <c r="V14" s="1" t="s">
        <v>239</v>
      </c>
      <c r="W14" s="1" t="s">
        <v>19</v>
      </c>
      <c r="Y14" s="1" t="str">
        <f t="shared" si="3"/>
        <v/>
      </c>
      <c r="Z14" s="1" t="str">
        <f>IF(ISERROR(VLOOKUP(Y14,Z$3:Z13,1,0)),Y14,"")</f>
        <v/>
      </c>
      <c r="AA14" s="1" t="str">
        <f t="shared" si="4"/>
        <v/>
      </c>
      <c r="AB14" s="1" t="str">
        <f>IF(AA14="","",IF(ISERROR(VLOOKUP(AA14,AA$3:AA13,1,0)),AA14,VLOOKUP(AA14,AA$3:AA13,1,0)+1))</f>
        <v/>
      </c>
      <c r="AC14" s="1" t="str">
        <f>IF(AB14="","",IF(ISERROR(VLOOKUP(AB14,AB$3:AB13,1,0)),AB14,VLOOKUP(AB14,AB$3:AB13,1,0)+1))</f>
        <v/>
      </c>
      <c r="AD14" s="1" t="str">
        <f>IF(AC14="","",IF(ISERROR(VLOOKUP(AC14,AC$3:AC13,1,0)),AC14,VLOOKUP(AC14,AC$3:AC13,1,0)+1))</f>
        <v/>
      </c>
      <c r="AE14" s="1" t="str">
        <f>IF(AD14="","",IF(ISERROR(VLOOKUP(AD14,AD$3:AD13,1,0)),AD14,VLOOKUP(AD14,AD$3:AD13,1,0)+1))</f>
        <v/>
      </c>
      <c r="AG14" s="178" t="str">
        <f t="shared" si="8"/>
        <v/>
      </c>
      <c r="AH14" s="1" t="str">
        <f t="shared" si="9"/>
        <v/>
      </c>
    </row>
    <row r="15" spans="1:34" x14ac:dyDescent="0.15">
      <c r="A15" s="173">
        <f t="shared" si="14"/>
        <v>0</v>
      </c>
      <c r="B15" s="173">
        <f t="shared" si="15"/>
        <v>0</v>
      </c>
      <c r="C15" s="67"/>
      <c r="D15" s="218"/>
      <c r="E15" s="54"/>
      <c r="F15" s="54"/>
      <c r="G15" s="190"/>
      <c r="H15" s="214" t="str">
        <f t="shared" si="0"/>
        <v/>
      </c>
      <c r="I15" s="214" t="str">
        <f t="shared" si="1"/>
        <v/>
      </c>
      <c r="J15" s="176"/>
      <c r="K15" s="25" t="str">
        <f t="shared" si="10"/>
        <v/>
      </c>
      <c r="L15" s="10"/>
      <c r="M15" s="10"/>
      <c r="N15" s="10"/>
      <c r="O15" s="57">
        <f t="shared" si="12"/>
        <v>0</v>
      </c>
      <c r="Q15" s="219" t="str">
        <f t="shared" si="13"/>
        <v/>
      </c>
      <c r="R15" s="219" t="str">
        <f>IFERROR(IF(VLOOKUP(Q15,Q$4:Q14,1,0)=Q15,"","New"),"New")</f>
        <v/>
      </c>
      <c r="S15" s="241">
        <f t="shared" si="11"/>
        <v>0</v>
      </c>
      <c r="T15" s="241"/>
      <c r="U15" s="1" t="s">
        <v>248</v>
      </c>
      <c r="V15" s="1" t="s">
        <v>239</v>
      </c>
      <c r="W15" s="1" t="s">
        <v>19</v>
      </c>
      <c r="Y15" s="1" t="str">
        <f t="shared" si="3"/>
        <v/>
      </c>
      <c r="Z15" s="1" t="str">
        <f>IF(ISERROR(VLOOKUP(Y15,Z$3:Z14,1,0)),Y15,"")</f>
        <v/>
      </c>
      <c r="AA15" s="1" t="str">
        <f t="shared" si="4"/>
        <v/>
      </c>
      <c r="AB15" s="1" t="str">
        <f>IF(AA15="","",IF(ISERROR(VLOOKUP(AA15,AA$3:AA14,1,0)),AA15,VLOOKUP(AA15,AA$3:AA14,1,0)+1))</f>
        <v/>
      </c>
      <c r="AC15" s="1" t="str">
        <f>IF(AB15="","",IF(ISERROR(VLOOKUP(AB15,AB$3:AB14,1,0)),AB15,VLOOKUP(AB15,AB$3:AB14,1,0)+1))</f>
        <v/>
      </c>
      <c r="AD15" s="1" t="str">
        <f>IF(AC15="","",IF(ISERROR(VLOOKUP(AC15,AC$3:AC14,1,0)),AC15,VLOOKUP(AC15,AC$3:AC14,1,0)+1))</f>
        <v/>
      </c>
      <c r="AE15" s="1" t="str">
        <f>IF(AD15="","",IF(ISERROR(VLOOKUP(AD15,AD$3:AD14,1,0)),AD15,VLOOKUP(AD15,AD$3:AD14,1,0)+1))</f>
        <v/>
      </c>
      <c r="AG15" s="178" t="str">
        <f t="shared" si="8"/>
        <v/>
      </c>
      <c r="AH15" s="1" t="str">
        <f t="shared" si="9"/>
        <v/>
      </c>
    </row>
    <row r="16" spans="1:34" x14ac:dyDescent="0.15">
      <c r="A16" s="173">
        <f t="shared" si="14"/>
        <v>0</v>
      </c>
      <c r="B16" s="173">
        <f t="shared" si="15"/>
        <v>0</v>
      </c>
      <c r="C16" s="66"/>
      <c r="D16" s="216"/>
      <c r="E16" s="53"/>
      <c r="F16" s="53"/>
      <c r="G16" s="189"/>
      <c r="H16" s="212" t="str">
        <f t="shared" si="0"/>
        <v/>
      </c>
      <c r="I16" s="212" t="str">
        <f t="shared" si="1"/>
        <v/>
      </c>
      <c r="J16" s="175"/>
      <c r="K16" s="24" t="str">
        <f t="shared" si="10"/>
        <v/>
      </c>
      <c r="L16" s="9"/>
      <c r="M16" s="8"/>
      <c r="N16" s="8"/>
      <c r="O16" s="36">
        <f t="shared" si="12"/>
        <v>0</v>
      </c>
      <c r="Q16" s="219" t="str">
        <f t="shared" si="13"/>
        <v/>
      </c>
      <c r="R16" s="219" t="str">
        <f>IFERROR(IF(VLOOKUP(Q16,Q$4:Q15,1,0)=Q16,"","New"),"New")</f>
        <v/>
      </c>
      <c r="S16" s="241">
        <f t="shared" si="11"/>
        <v>0</v>
      </c>
      <c r="T16" s="241"/>
      <c r="U16" s="1" t="s">
        <v>236</v>
      </c>
      <c r="Y16" s="1" t="str">
        <f t="shared" si="3"/>
        <v/>
      </c>
      <c r="Z16" s="1" t="str">
        <f>IF(ISERROR(VLOOKUP(Y16,Z$3:Z15,1,0)),Y16,"")</f>
        <v/>
      </c>
      <c r="AA16" s="1" t="str">
        <f t="shared" si="4"/>
        <v/>
      </c>
      <c r="AB16" s="1" t="str">
        <f>IF(AA16="","",IF(ISERROR(VLOOKUP(AA16,AA$3:AA15,1,0)),AA16,VLOOKUP(AA16,AA$3:AA15,1,0)+1))</f>
        <v/>
      </c>
      <c r="AC16" s="1" t="str">
        <f>IF(AB16="","",IF(ISERROR(VLOOKUP(AB16,AB$3:AB15,1,0)),AB16,VLOOKUP(AB16,AB$3:AB15,1,0)+1))</f>
        <v/>
      </c>
      <c r="AD16" s="1" t="str">
        <f>IF(AC16="","",IF(ISERROR(VLOOKUP(AC16,AC$3:AC15,1,0)),AC16,VLOOKUP(AC16,AC$3:AC15,1,0)+1))</f>
        <v/>
      </c>
      <c r="AE16" s="1" t="str">
        <f>IF(AD16="","",IF(ISERROR(VLOOKUP(AD16,AD$3:AD15,1,0)),AD16,VLOOKUP(AD16,AD$3:AD15,1,0)+1))</f>
        <v/>
      </c>
      <c r="AG16" s="178" t="str">
        <f t="shared" si="8"/>
        <v/>
      </c>
      <c r="AH16" s="1" t="str">
        <f t="shared" si="9"/>
        <v/>
      </c>
    </row>
    <row r="17" spans="1:34" x14ac:dyDescent="0.15">
      <c r="A17" s="173">
        <f t="shared" si="14"/>
        <v>0</v>
      </c>
      <c r="B17" s="173">
        <f t="shared" si="15"/>
        <v>0</v>
      </c>
      <c r="C17" s="65"/>
      <c r="D17" s="217"/>
      <c r="E17" s="52"/>
      <c r="F17" s="52"/>
      <c r="G17" s="188"/>
      <c r="H17" s="213" t="str">
        <f t="shared" si="0"/>
        <v/>
      </c>
      <c r="I17" s="213" t="str">
        <f t="shared" si="1"/>
        <v/>
      </c>
      <c r="J17" s="174"/>
      <c r="K17" s="23" t="str">
        <f t="shared" si="10"/>
        <v/>
      </c>
      <c r="L17" s="9"/>
      <c r="M17" s="9"/>
      <c r="N17" s="9"/>
      <c r="O17" s="36">
        <f t="shared" si="12"/>
        <v>0</v>
      </c>
      <c r="Q17" s="219" t="str">
        <f t="shared" si="13"/>
        <v/>
      </c>
      <c r="R17" s="219" t="str">
        <f>IFERROR(IF(VLOOKUP(Q17,Q$4:Q16,1,0)=Q17,"","New"),"New")</f>
        <v/>
      </c>
      <c r="S17" s="241">
        <f t="shared" si="11"/>
        <v>0</v>
      </c>
      <c r="T17" s="241"/>
      <c r="U17" s="1" t="s">
        <v>14</v>
      </c>
      <c r="V17" s="1" t="s">
        <v>239</v>
      </c>
      <c r="W17" s="1" t="s">
        <v>299</v>
      </c>
      <c r="Y17" s="1" t="str">
        <f t="shared" si="3"/>
        <v/>
      </c>
      <c r="Z17" s="1" t="str">
        <f>IF(ISERROR(VLOOKUP(Y17,Z$3:Z16,1,0)),Y17,"")</f>
        <v/>
      </c>
      <c r="AA17" s="1" t="str">
        <f t="shared" si="4"/>
        <v/>
      </c>
      <c r="AB17" s="1" t="str">
        <f>IF(AA17="","",IF(ISERROR(VLOOKUP(AA17,AA$3:AA16,1,0)),AA17,VLOOKUP(AA17,AA$3:AA16,1,0)+1))</f>
        <v/>
      </c>
      <c r="AC17" s="1" t="str">
        <f>IF(AB17="","",IF(ISERROR(VLOOKUP(AB17,AB$3:AB16,1,0)),AB17,VLOOKUP(AB17,AB$3:AB16,1,0)+1))</f>
        <v/>
      </c>
      <c r="AD17" s="1" t="str">
        <f>IF(AC17="","",IF(ISERROR(VLOOKUP(AC17,AC$3:AC16,1,0)),AC17,VLOOKUP(AC17,AC$3:AC16,1,0)+1))</f>
        <v/>
      </c>
      <c r="AE17" s="1" t="str">
        <f>IF(AD17="","",IF(ISERROR(VLOOKUP(AD17,AD$3:AD16,1,0)),AD17,VLOOKUP(AD17,AD$3:AD16,1,0)+1))</f>
        <v/>
      </c>
      <c r="AG17" s="178" t="str">
        <f t="shared" si="8"/>
        <v/>
      </c>
      <c r="AH17" s="1" t="str">
        <f t="shared" si="9"/>
        <v/>
      </c>
    </row>
    <row r="18" spans="1:34" x14ac:dyDescent="0.15">
      <c r="A18" s="173">
        <f t="shared" si="14"/>
        <v>0</v>
      </c>
      <c r="B18" s="173">
        <f t="shared" si="15"/>
        <v>0</v>
      </c>
      <c r="C18" s="67"/>
      <c r="D18" s="218"/>
      <c r="E18" s="54"/>
      <c r="F18" s="54"/>
      <c r="G18" s="190"/>
      <c r="H18" s="214" t="str">
        <f t="shared" si="0"/>
        <v/>
      </c>
      <c r="I18" s="214" t="str">
        <f t="shared" si="1"/>
        <v/>
      </c>
      <c r="J18" s="176"/>
      <c r="K18" s="25" t="str">
        <f t="shared" si="10"/>
        <v/>
      </c>
      <c r="L18" s="10"/>
      <c r="M18" s="10"/>
      <c r="N18" s="10"/>
      <c r="O18" s="57">
        <f t="shared" si="12"/>
        <v>0</v>
      </c>
      <c r="Q18" s="219" t="str">
        <f t="shared" si="13"/>
        <v/>
      </c>
      <c r="R18" s="219" t="str">
        <f>IFERROR(IF(VLOOKUP(Q18,Q$4:Q17,1,0)=Q18,"","New"),"New")</f>
        <v/>
      </c>
      <c r="S18" s="241">
        <f t="shared" si="11"/>
        <v>0</v>
      </c>
      <c r="T18" s="241"/>
      <c r="U18" s="1" t="s">
        <v>15</v>
      </c>
      <c r="V18" s="1" t="s">
        <v>239</v>
      </c>
      <c r="W18" s="1" t="s">
        <v>299</v>
      </c>
      <c r="Y18" s="1" t="str">
        <f t="shared" si="3"/>
        <v/>
      </c>
      <c r="Z18" s="1" t="str">
        <f>IF(ISERROR(VLOOKUP(Y18,Z$3:Z17,1,0)),Y18,"")</f>
        <v/>
      </c>
      <c r="AA18" s="1" t="str">
        <f t="shared" si="4"/>
        <v/>
      </c>
      <c r="AB18" s="1" t="str">
        <f>IF(AA18="","",IF(ISERROR(VLOOKUP(AA18,AA$3:AA17,1,0)),AA18,VLOOKUP(AA18,AA$3:AA17,1,0)+1))</f>
        <v/>
      </c>
      <c r="AC18" s="1" t="str">
        <f>IF(AB18="","",IF(ISERROR(VLOOKUP(AB18,AB$3:AB17,1,0)),AB18,VLOOKUP(AB18,AB$3:AB17,1,0)+1))</f>
        <v/>
      </c>
      <c r="AD18" s="1" t="str">
        <f>IF(AC18="","",IF(ISERROR(VLOOKUP(AC18,AC$3:AC17,1,0)),AC18,VLOOKUP(AC18,AC$3:AC17,1,0)+1))</f>
        <v/>
      </c>
      <c r="AE18" s="1" t="str">
        <f>IF(AD18="","",IF(ISERROR(VLOOKUP(AD18,AD$3:AD17,1,0)),AD18,VLOOKUP(AD18,AD$3:AD17,1,0)+1))</f>
        <v/>
      </c>
      <c r="AG18" s="178" t="str">
        <f t="shared" si="8"/>
        <v/>
      </c>
      <c r="AH18" s="1" t="str">
        <f t="shared" si="9"/>
        <v/>
      </c>
    </row>
    <row r="19" spans="1:34" x14ac:dyDescent="0.15">
      <c r="A19" s="173">
        <f t="shared" si="14"/>
        <v>0</v>
      </c>
      <c r="B19" s="173">
        <f t="shared" si="15"/>
        <v>0</v>
      </c>
      <c r="C19" s="66"/>
      <c r="D19" s="216"/>
      <c r="E19" s="53"/>
      <c r="F19" s="53"/>
      <c r="G19" s="189"/>
      <c r="H19" s="212" t="str">
        <f t="shared" si="0"/>
        <v/>
      </c>
      <c r="I19" s="212" t="str">
        <f t="shared" si="1"/>
        <v/>
      </c>
      <c r="J19" s="175"/>
      <c r="K19" s="24" t="str">
        <f t="shared" si="10"/>
        <v/>
      </c>
      <c r="L19" s="9"/>
      <c r="M19" s="8"/>
      <c r="N19" s="8"/>
      <c r="O19" s="36">
        <f t="shared" si="12"/>
        <v>0</v>
      </c>
      <c r="Q19" s="219" t="str">
        <f t="shared" si="13"/>
        <v/>
      </c>
      <c r="R19" s="219" t="str">
        <f>IFERROR(IF(VLOOKUP(Q19,Q$4:Q18,1,0)=Q19,"","New"),"New")</f>
        <v/>
      </c>
      <c r="S19" s="241">
        <f t="shared" si="11"/>
        <v>0</v>
      </c>
      <c r="T19" s="241"/>
      <c r="U19" s="1" t="s">
        <v>16</v>
      </c>
      <c r="V19" s="1" t="s">
        <v>239</v>
      </c>
      <c r="W19" s="1" t="s">
        <v>299</v>
      </c>
      <c r="Y19" s="1" t="str">
        <f t="shared" si="3"/>
        <v/>
      </c>
      <c r="Z19" s="1" t="str">
        <f>IF(ISERROR(VLOOKUP(Y19,Z$3:Z18,1,0)),Y19,"")</f>
        <v/>
      </c>
      <c r="AA19" s="1" t="str">
        <f t="shared" si="4"/>
        <v/>
      </c>
      <c r="AB19" s="1" t="str">
        <f>IF(AA19="","",IF(ISERROR(VLOOKUP(AA19,AA$3:AA18,1,0)),AA19,VLOOKUP(AA19,AA$3:AA18,1,0)+1))</f>
        <v/>
      </c>
      <c r="AC19" s="1" t="str">
        <f>IF(AB19="","",IF(ISERROR(VLOOKUP(AB19,AB$3:AB18,1,0)),AB19,VLOOKUP(AB19,AB$3:AB18,1,0)+1))</f>
        <v/>
      </c>
      <c r="AD19" s="1" t="str">
        <f>IF(AC19="","",IF(ISERROR(VLOOKUP(AC19,AC$3:AC18,1,0)),AC19,VLOOKUP(AC19,AC$3:AC18,1,0)+1))</f>
        <v/>
      </c>
      <c r="AE19" s="1" t="str">
        <f>IF(AD19="","",IF(ISERROR(VLOOKUP(AD19,AD$3:AD18,1,0)),AD19,VLOOKUP(AD19,AD$3:AD18,1,0)+1))</f>
        <v/>
      </c>
      <c r="AG19" s="178" t="str">
        <f t="shared" si="8"/>
        <v/>
      </c>
      <c r="AH19" s="1" t="str">
        <f t="shared" si="9"/>
        <v/>
      </c>
    </row>
    <row r="20" spans="1:34" x14ac:dyDescent="0.15">
      <c r="A20" s="173">
        <f t="shared" si="14"/>
        <v>0</v>
      </c>
      <c r="B20" s="173">
        <f t="shared" si="15"/>
        <v>0</v>
      </c>
      <c r="C20" s="65"/>
      <c r="D20" s="217"/>
      <c r="E20" s="52"/>
      <c r="F20" s="52"/>
      <c r="G20" s="188"/>
      <c r="H20" s="213" t="str">
        <f t="shared" si="0"/>
        <v/>
      </c>
      <c r="I20" s="213" t="str">
        <f t="shared" si="1"/>
        <v/>
      </c>
      <c r="J20" s="174"/>
      <c r="K20" s="23" t="str">
        <f t="shared" si="10"/>
        <v/>
      </c>
      <c r="L20" s="9"/>
      <c r="M20" s="9"/>
      <c r="N20" s="9"/>
      <c r="O20" s="36">
        <f t="shared" si="12"/>
        <v>0</v>
      </c>
      <c r="Q20" s="219" t="str">
        <f t="shared" si="13"/>
        <v/>
      </c>
      <c r="R20" s="219" t="str">
        <f>IFERROR(IF(VLOOKUP(Q20,Q$4:Q19,1,0)=Q20,"","New"),"New")</f>
        <v/>
      </c>
      <c r="S20" s="241">
        <f t="shared" si="11"/>
        <v>0</v>
      </c>
      <c r="T20" s="241"/>
      <c r="U20" s="1" t="s">
        <v>851</v>
      </c>
      <c r="V20" s="1" t="s">
        <v>239</v>
      </c>
      <c r="W20" s="1" t="s">
        <v>299</v>
      </c>
      <c r="Y20" s="1" t="str">
        <f t="shared" si="3"/>
        <v/>
      </c>
      <c r="Z20" s="1" t="str">
        <f>IF(ISERROR(VLOOKUP(Y20,Z$3:Z19,1,0)),Y20,"")</f>
        <v/>
      </c>
      <c r="AA20" s="1" t="str">
        <f t="shared" si="4"/>
        <v/>
      </c>
      <c r="AB20" s="1" t="str">
        <f>IF(AA20="","",IF(ISERROR(VLOOKUP(AA20,AA$3:AA19,1,0)),AA20,VLOOKUP(AA20,AA$3:AA19,1,0)+1))</f>
        <v/>
      </c>
      <c r="AC20" s="1" t="str">
        <f>IF(AB20="","",IF(ISERROR(VLOOKUP(AB20,AB$3:AB19,1,0)),AB20,VLOOKUP(AB20,AB$3:AB19,1,0)+1))</f>
        <v/>
      </c>
      <c r="AD20" s="1" t="str">
        <f>IF(AC20="","",IF(ISERROR(VLOOKUP(AC20,AC$3:AC19,1,0)),AC20,VLOOKUP(AC20,AC$3:AC19,1,0)+1))</f>
        <v/>
      </c>
      <c r="AE20" s="1" t="str">
        <f>IF(AD20="","",IF(ISERROR(VLOOKUP(AD20,AD$3:AD19,1,0)),AD20,VLOOKUP(AD20,AD$3:AD19,1,0)+1))</f>
        <v/>
      </c>
      <c r="AG20" s="178" t="str">
        <f t="shared" si="8"/>
        <v/>
      </c>
      <c r="AH20" s="1" t="str">
        <f t="shared" si="9"/>
        <v/>
      </c>
    </row>
    <row r="21" spans="1:34" x14ac:dyDescent="0.15">
      <c r="A21" s="173">
        <f t="shared" si="14"/>
        <v>0</v>
      </c>
      <c r="B21" s="173">
        <f t="shared" si="15"/>
        <v>0</v>
      </c>
      <c r="C21" s="67"/>
      <c r="D21" s="218"/>
      <c r="E21" s="54"/>
      <c r="F21" s="54"/>
      <c r="G21" s="190"/>
      <c r="H21" s="214" t="str">
        <f t="shared" si="0"/>
        <v/>
      </c>
      <c r="I21" s="214" t="str">
        <f t="shared" si="1"/>
        <v/>
      </c>
      <c r="J21" s="176"/>
      <c r="K21" s="25" t="str">
        <f t="shared" si="10"/>
        <v/>
      </c>
      <c r="L21" s="10"/>
      <c r="M21" s="10"/>
      <c r="N21" s="10"/>
      <c r="O21" s="57">
        <f t="shared" si="12"/>
        <v>0</v>
      </c>
      <c r="Q21" s="219" t="str">
        <f t="shared" si="13"/>
        <v/>
      </c>
      <c r="R21" s="219" t="str">
        <f>IFERROR(IF(VLOOKUP(Q21,Q$4:Q20,1,0)=Q21,"","New"),"New")</f>
        <v/>
      </c>
      <c r="S21" s="241">
        <f t="shared" si="11"/>
        <v>0</v>
      </c>
      <c r="T21" s="241"/>
      <c r="U21" s="1" t="s">
        <v>236</v>
      </c>
      <c r="Y21" s="1" t="str">
        <f t="shared" si="3"/>
        <v/>
      </c>
      <c r="Z21" s="1" t="str">
        <f>IF(ISERROR(VLOOKUP(Y21,Z$3:Z20,1,0)),Y21,"")</f>
        <v/>
      </c>
      <c r="AA21" s="1" t="str">
        <f t="shared" si="4"/>
        <v/>
      </c>
      <c r="AB21" s="1" t="str">
        <f>IF(AA21="","",IF(ISERROR(VLOOKUP(AA21,AA$3:AA20,1,0)),AA21,VLOOKUP(AA21,AA$3:AA20,1,0)+1))</f>
        <v/>
      </c>
      <c r="AC21" s="1" t="str">
        <f>IF(AB21="","",IF(ISERROR(VLOOKUP(AB21,AB$3:AB20,1,0)),AB21,VLOOKUP(AB21,AB$3:AB20,1,0)+1))</f>
        <v/>
      </c>
      <c r="AD21" s="1" t="str">
        <f>IF(AC21="","",IF(ISERROR(VLOOKUP(AC21,AC$3:AC20,1,0)),AC21,VLOOKUP(AC21,AC$3:AC20,1,0)+1))</f>
        <v/>
      </c>
      <c r="AE21" s="1" t="str">
        <f>IF(AD21="","",IF(ISERROR(VLOOKUP(AD21,AD$3:AD20,1,0)),AD21,VLOOKUP(AD21,AD$3:AD20,1,0)+1))</f>
        <v/>
      </c>
      <c r="AG21" s="178" t="str">
        <f t="shared" si="8"/>
        <v/>
      </c>
      <c r="AH21" s="1" t="str">
        <f t="shared" si="9"/>
        <v/>
      </c>
    </row>
    <row r="22" spans="1:34" x14ac:dyDescent="0.15">
      <c r="A22" s="173">
        <f t="shared" si="14"/>
        <v>0</v>
      </c>
      <c r="B22" s="173">
        <f t="shared" si="15"/>
        <v>0</v>
      </c>
      <c r="C22" s="66"/>
      <c r="D22" s="216"/>
      <c r="E22" s="53"/>
      <c r="F22" s="53"/>
      <c r="G22" s="189"/>
      <c r="H22" s="212" t="str">
        <f t="shared" si="0"/>
        <v/>
      </c>
      <c r="I22" s="212" t="str">
        <f t="shared" si="1"/>
        <v/>
      </c>
      <c r="J22" s="175"/>
      <c r="K22" s="24" t="str">
        <f t="shared" si="10"/>
        <v/>
      </c>
      <c r="L22" s="9"/>
      <c r="M22" s="8"/>
      <c r="N22" s="8"/>
      <c r="O22" s="36">
        <f t="shared" si="12"/>
        <v>0</v>
      </c>
      <c r="Q22" s="219" t="str">
        <f t="shared" si="13"/>
        <v/>
      </c>
      <c r="R22" s="219" t="str">
        <f>IFERROR(IF(VLOOKUP(Q22,Q$4:Q21,1,0)=Q22,"","New"),"New")</f>
        <v/>
      </c>
      <c r="S22" s="241">
        <f t="shared" si="11"/>
        <v>0</v>
      </c>
      <c r="T22" s="241"/>
      <c r="U22" s="1" t="s">
        <v>249</v>
      </c>
      <c r="V22" s="1" t="s">
        <v>239</v>
      </c>
      <c r="W22" s="1" t="s">
        <v>18</v>
      </c>
      <c r="Y22" s="1" t="str">
        <f t="shared" si="3"/>
        <v/>
      </c>
      <c r="Z22" s="1" t="str">
        <f>IF(ISERROR(VLOOKUP(Y22,Z$3:Z21,1,0)),Y22,"")</f>
        <v/>
      </c>
      <c r="AA22" s="1" t="str">
        <f t="shared" si="4"/>
        <v/>
      </c>
      <c r="AB22" s="1" t="str">
        <f>IF(AA22="","",IF(ISERROR(VLOOKUP(AA22,AA$3:AA21,1,0)),AA22,VLOOKUP(AA22,AA$3:AA21,1,0)+1))</f>
        <v/>
      </c>
      <c r="AC22" s="1" t="str">
        <f>IF(AB22="","",IF(ISERROR(VLOOKUP(AB22,AB$3:AB21,1,0)),AB22,VLOOKUP(AB22,AB$3:AB21,1,0)+1))</f>
        <v/>
      </c>
      <c r="AD22" s="1" t="str">
        <f>IF(AC22="","",IF(ISERROR(VLOOKUP(AC22,AC$3:AC21,1,0)),AC22,VLOOKUP(AC22,AC$3:AC21,1,0)+1))</f>
        <v/>
      </c>
      <c r="AE22" s="1" t="str">
        <f>IF(AD22="","",IF(ISERROR(VLOOKUP(AD22,AD$3:AD21,1,0)),AD22,VLOOKUP(AD22,AD$3:AD21,1,0)+1))</f>
        <v/>
      </c>
      <c r="AG22" s="178" t="str">
        <f t="shared" si="8"/>
        <v/>
      </c>
      <c r="AH22" s="1" t="str">
        <f t="shared" si="9"/>
        <v/>
      </c>
    </row>
    <row r="23" spans="1:34" x14ac:dyDescent="0.15">
      <c r="A23" s="173">
        <f t="shared" si="14"/>
        <v>0</v>
      </c>
      <c r="B23" s="173">
        <f t="shared" si="15"/>
        <v>0</v>
      </c>
      <c r="C23" s="65"/>
      <c r="D23" s="217"/>
      <c r="E23" s="52"/>
      <c r="F23" s="52"/>
      <c r="G23" s="188"/>
      <c r="H23" s="213" t="str">
        <f t="shared" si="0"/>
        <v/>
      </c>
      <c r="I23" s="213" t="str">
        <f t="shared" si="1"/>
        <v/>
      </c>
      <c r="J23" s="174"/>
      <c r="K23" s="23" t="str">
        <f t="shared" si="10"/>
        <v/>
      </c>
      <c r="L23" s="9"/>
      <c r="M23" s="9"/>
      <c r="N23" s="9"/>
      <c r="O23" s="36">
        <f t="shared" si="12"/>
        <v>0</v>
      </c>
      <c r="Q23" s="219" t="str">
        <f t="shared" si="13"/>
        <v/>
      </c>
      <c r="R23" s="219" t="str">
        <f>IFERROR(IF(VLOOKUP(Q23,Q$4:Q22,1,0)=Q23,"","New"),"New")</f>
        <v/>
      </c>
      <c r="S23" s="241">
        <f t="shared" si="11"/>
        <v>0</v>
      </c>
      <c r="T23" s="241"/>
      <c r="U23" s="1" t="s">
        <v>39</v>
      </c>
      <c r="V23" s="1" t="s">
        <v>239</v>
      </c>
      <c r="W23" s="1" t="s">
        <v>19</v>
      </c>
      <c r="Y23" s="1" t="str">
        <f t="shared" si="3"/>
        <v/>
      </c>
      <c r="Z23" s="1" t="str">
        <f>IF(ISERROR(VLOOKUP(Y23,Z$3:Z22,1,0)),Y23,"")</f>
        <v/>
      </c>
      <c r="AA23" s="1" t="str">
        <f t="shared" si="4"/>
        <v/>
      </c>
      <c r="AB23" s="1" t="str">
        <f>IF(AA23="","",IF(ISERROR(VLOOKUP(AA23,AA$3:AA22,1,0)),AA23,VLOOKUP(AA23,AA$3:AA22,1,0)+1))</f>
        <v/>
      </c>
      <c r="AC23" s="1" t="str">
        <f>IF(AB23="","",IF(ISERROR(VLOOKUP(AB23,AB$3:AB22,1,0)),AB23,VLOOKUP(AB23,AB$3:AB22,1,0)+1))</f>
        <v/>
      </c>
      <c r="AD23" s="1" t="str">
        <f>IF(AC23="","",IF(ISERROR(VLOOKUP(AC23,AC$3:AC22,1,0)),AC23,VLOOKUP(AC23,AC$3:AC22,1,0)+1))</f>
        <v/>
      </c>
      <c r="AE23" s="1" t="str">
        <f>IF(AD23="","",IF(ISERROR(VLOOKUP(AD23,AD$3:AD22,1,0)),AD23,VLOOKUP(AD23,AD$3:AD22,1,0)+1))</f>
        <v/>
      </c>
      <c r="AG23" s="178" t="str">
        <f t="shared" si="8"/>
        <v/>
      </c>
      <c r="AH23" s="1" t="str">
        <f t="shared" si="9"/>
        <v/>
      </c>
    </row>
    <row r="24" spans="1:34" x14ac:dyDescent="0.15">
      <c r="A24" s="173">
        <f t="shared" si="14"/>
        <v>0</v>
      </c>
      <c r="B24" s="173">
        <f t="shared" si="15"/>
        <v>0</v>
      </c>
      <c r="C24" s="67"/>
      <c r="D24" s="218"/>
      <c r="E24" s="54"/>
      <c r="F24" s="54"/>
      <c r="G24" s="190"/>
      <c r="H24" s="214" t="str">
        <f t="shared" si="0"/>
        <v/>
      </c>
      <c r="I24" s="214" t="str">
        <f t="shared" si="1"/>
        <v/>
      </c>
      <c r="J24" s="176"/>
      <c r="K24" s="25" t="str">
        <f t="shared" si="10"/>
        <v/>
      </c>
      <c r="L24" s="10"/>
      <c r="M24" s="10"/>
      <c r="N24" s="10"/>
      <c r="O24" s="57">
        <f t="shared" si="12"/>
        <v>0</v>
      </c>
      <c r="Q24" s="219" t="str">
        <f t="shared" si="13"/>
        <v/>
      </c>
      <c r="R24" s="219" t="str">
        <f>IFERROR(IF(VLOOKUP(Q24,Q$4:Q23,1,0)=Q24,"","New"),"New")</f>
        <v/>
      </c>
      <c r="S24" s="241">
        <f t="shared" si="11"/>
        <v>0</v>
      </c>
      <c r="T24" s="241"/>
      <c r="U24" s="1" t="s">
        <v>236</v>
      </c>
      <c r="Y24" s="1" t="str">
        <f t="shared" si="3"/>
        <v/>
      </c>
      <c r="Z24" s="1" t="str">
        <f>IF(ISERROR(VLOOKUP(Y24,Z$3:Z23,1,0)),Y24,"")</f>
        <v/>
      </c>
      <c r="AA24" s="1" t="str">
        <f t="shared" si="4"/>
        <v/>
      </c>
      <c r="AB24" s="1" t="str">
        <f>IF(AA24="","",IF(ISERROR(VLOOKUP(AA24,AA$3:AA23,1,0)),AA24,VLOOKUP(AA24,AA$3:AA23,1,0)+1))</f>
        <v/>
      </c>
      <c r="AC24" s="1" t="str">
        <f>IF(AB24="","",IF(ISERROR(VLOOKUP(AB24,AB$3:AB23,1,0)),AB24,VLOOKUP(AB24,AB$3:AB23,1,0)+1))</f>
        <v/>
      </c>
      <c r="AD24" s="1" t="str">
        <f>IF(AC24="","",IF(ISERROR(VLOOKUP(AC24,AC$3:AC23,1,0)),AC24,VLOOKUP(AC24,AC$3:AC23,1,0)+1))</f>
        <v/>
      </c>
      <c r="AE24" s="1" t="str">
        <f>IF(AD24="","",IF(ISERROR(VLOOKUP(AD24,AD$3:AD23,1,0)),AD24,VLOOKUP(AD24,AD$3:AD23,1,0)+1))</f>
        <v/>
      </c>
      <c r="AG24" s="178" t="str">
        <f t="shared" si="8"/>
        <v/>
      </c>
      <c r="AH24" s="1" t="str">
        <f t="shared" si="9"/>
        <v/>
      </c>
    </row>
    <row r="25" spans="1:34" x14ac:dyDescent="0.15">
      <c r="A25" s="173">
        <f t="shared" si="14"/>
        <v>0</v>
      </c>
      <c r="B25" s="173">
        <f t="shared" si="15"/>
        <v>0</v>
      </c>
      <c r="C25" s="66"/>
      <c r="D25" s="216"/>
      <c r="E25" s="53"/>
      <c r="F25" s="53"/>
      <c r="G25" s="189"/>
      <c r="H25" s="212" t="str">
        <f t="shared" si="0"/>
        <v/>
      </c>
      <c r="I25" s="212" t="str">
        <f t="shared" si="1"/>
        <v/>
      </c>
      <c r="J25" s="175"/>
      <c r="K25" s="24" t="str">
        <f t="shared" si="10"/>
        <v/>
      </c>
      <c r="L25" s="9"/>
      <c r="M25" s="8"/>
      <c r="N25" s="8"/>
      <c r="O25" s="36">
        <f t="shared" si="12"/>
        <v>0</v>
      </c>
      <c r="Q25" s="219" t="str">
        <f t="shared" si="13"/>
        <v/>
      </c>
      <c r="R25" s="219" t="str">
        <f>IFERROR(IF(VLOOKUP(Q25,Q$4:Q24,1,0)=Q25,"","New"),"New")</f>
        <v/>
      </c>
      <c r="S25" s="241">
        <f t="shared" si="11"/>
        <v>0</v>
      </c>
      <c r="T25" s="241"/>
      <c r="U25" s="1" t="s">
        <v>12</v>
      </c>
      <c r="V25" s="1" t="s">
        <v>239</v>
      </c>
      <c r="W25" s="1" t="s">
        <v>17</v>
      </c>
      <c r="Y25" s="1" t="str">
        <f t="shared" si="3"/>
        <v/>
      </c>
      <c r="Z25" s="1" t="str">
        <f>IF(ISERROR(VLOOKUP(Y25,Z$3:Z24,1,0)),Y25,"")</f>
        <v/>
      </c>
      <c r="AA25" s="1" t="str">
        <f t="shared" si="4"/>
        <v/>
      </c>
      <c r="AB25" s="1" t="str">
        <f>IF(AA25="","",IF(ISERROR(VLOOKUP(AA25,AA$3:AA24,1,0)),AA25,VLOOKUP(AA25,AA$3:AA24,1,0)+1))</f>
        <v/>
      </c>
      <c r="AC25" s="1" t="str">
        <f>IF(AB25="","",IF(ISERROR(VLOOKUP(AB25,AB$3:AB24,1,0)),AB25,VLOOKUP(AB25,AB$3:AB24,1,0)+1))</f>
        <v/>
      </c>
      <c r="AD25" s="1" t="str">
        <f>IF(AC25="","",IF(ISERROR(VLOOKUP(AC25,AC$3:AC24,1,0)),AC25,VLOOKUP(AC25,AC$3:AC24,1,0)+1))</f>
        <v/>
      </c>
      <c r="AE25" s="1" t="str">
        <f>IF(AD25="","",IF(ISERROR(VLOOKUP(AD25,AD$3:AD24,1,0)),AD25,VLOOKUP(AD25,AD$3:AD24,1,0)+1))</f>
        <v/>
      </c>
      <c r="AG25" s="178" t="str">
        <f t="shared" si="8"/>
        <v/>
      </c>
      <c r="AH25" s="1" t="str">
        <f t="shared" si="9"/>
        <v/>
      </c>
    </row>
    <row r="26" spans="1:34" x14ac:dyDescent="0.15">
      <c r="A26" s="173">
        <f t="shared" si="14"/>
        <v>0</v>
      </c>
      <c r="B26" s="173">
        <f t="shared" si="15"/>
        <v>0</v>
      </c>
      <c r="C26" s="65"/>
      <c r="D26" s="217"/>
      <c r="E26" s="52"/>
      <c r="F26" s="52"/>
      <c r="G26" s="188"/>
      <c r="H26" s="213" t="str">
        <f t="shared" si="0"/>
        <v/>
      </c>
      <c r="I26" s="213" t="str">
        <f t="shared" si="1"/>
        <v/>
      </c>
      <c r="J26" s="174"/>
      <c r="K26" s="23" t="str">
        <f t="shared" si="10"/>
        <v/>
      </c>
      <c r="L26" s="9"/>
      <c r="M26" s="9"/>
      <c r="N26" s="9"/>
      <c r="O26" s="36">
        <f t="shared" si="12"/>
        <v>0</v>
      </c>
      <c r="Q26" s="219" t="str">
        <f t="shared" si="13"/>
        <v/>
      </c>
      <c r="R26" s="219" t="str">
        <f>IFERROR(IF(VLOOKUP(Q26,Q$4:Q25,1,0)=Q26,"","New"),"New")</f>
        <v/>
      </c>
      <c r="S26" s="241">
        <f t="shared" si="11"/>
        <v>0</v>
      </c>
      <c r="T26" s="241"/>
      <c r="U26" s="1" t="s">
        <v>242</v>
      </c>
      <c r="V26" s="1" t="s">
        <v>239</v>
      </c>
      <c r="W26" s="1" t="s">
        <v>19</v>
      </c>
      <c r="Y26" s="1" t="str">
        <f t="shared" si="3"/>
        <v/>
      </c>
      <c r="Z26" s="1" t="str">
        <f>IF(ISERROR(VLOOKUP(Y26,Z$3:Z25,1,0)),Y26,"")</f>
        <v/>
      </c>
      <c r="AA26" s="1" t="str">
        <f t="shared" si="4"/>
        <v/>
      </c>
      <c r="AB26" s="1" t="str">
        <f>IF(AA26="","",IF(ISERROR(VLOOKUP(AA26,AA$3:AA25,1,0)),AA26,VLOOKUP(AA26,AA$3:AA25,1,0)+1))</f>
        <v/>
      </c>
      <c r="AC26" s="1" t="str">
        <f>IF(AB26="","",IF(ISERROR(VLOOKUP(AB26,AB$3:AB25,1,0)),AB26,VLOOKUP(AB26,AB$3:AB25,1,0)+1))</f>
        <v/>
      </c>
      <c r="AD26" s="1" t="str">
        <f>IF(AC26="","",IF(ISERROR(VLOOKUP(AC26,AC$3:AC25,1,0)),AC26,VLOOKUP(AC26,AC$3:AC25,1,0)+1))</f>
        <v/>
      </c>
      <c r="AE26" s="1" t="str">
        <f>IF(AD26="","",IF(ISERROR(VLOOKUP(AD26,AD$3:AD25,1,0)),AD26,VLOOKUP(AD26,AD$3:AD25,1,0)+1))</f>
        <v/>
      </c>
      <c r="AG26" s="178" t="str">
        <f t="shared" si="8"/>
        <v/>
      </c>
      <c r="AH26" s="1" t="str">
        <f t="shared" si="9"/>
        <v/>
      </c>
    </row>
    <row r="27" spans="1:34" x14ac:dyDescent="0.15">
      <c r="A27" s="173">
        <f t="shared" si="14"/>
        <v>0</v>
      </c>
      <c r="B27" s="173">
        <f t="shared" si="15"/>
        <v>0</v>
      </c>
      <c r="C27" s="67"/>
      <c r="D27" s="218"/>
      <c r="E27" s="54"/>
      <c r="F27" s="54"/>
      <c r="G27" s="190"/>
      <c r="H27" s="214" t="str">
        <f t="shared" si="0"/>
        <v/>
      </c>
      <c r="I27" s="214" t="str">
        <f t="shared" si="1"/>
        <v/>
      </c>
      <c r="J27" s="176"/>
      <c r="K27" s="25" t="str">
        <f t="shared" si="10"/>
        <v/>
      </c>
      <c r="L27" s="10"/>
      <c r="M27" s="10"/>
      <c r="N27" s="10"/>
      <c r="O27" s="57">
        <f t="shared" si="12"/>
        <v>0</v>
      </c>
      <c r="Q27" s="219" t="str">
        <f t="shared" si="13"/>
        <v/>
      </c>
      <c r="R27" s="219" t="str">
        <f>IFERROR(IF(VLOOKUP(Q27,Q$4:Q26,1,0)=Q27,"","New"),"New")</f>
        <v/>
      </c>
      <c r="S27" s="241">
        <f t="shared" si="11"/>
        <v>0</v>
      </c>
      <c r="T27" s="241"/>
      <c r="U27" s="1" t="s">
        <v>236</v>
      </c>
      <c r="Y27" s="1" t="str">
        <f t="shared" si="3"/>
        <v/>
      </c>
      <c r="Z27" s="1" t="str">
        <f>IF(ISERROR(VLOOKUP(Y27,Z$3:Z26,1,0)),Y27,"")</f>
        <v/>
      </c>
      <c r="AA27" s="1" t="str">
        <f t="shared" si="4"/>
        <v/>
      </c>
      <c r="AB27" s="1" t="str">
        <f>IF(AA27="","",IF(ISERROR(VLOOKUP(AA27,AA$3:AA26,1,0)),AA27,VLOOKUP(AA27,AA$3:AA26,1,0)+1))</f>
        <v/>
      </c>
      <c r="AC27" s="1" t="str">
        <f>IF(AB27="","",IF(ISERROR(VLOOKUP(AB27,AB$3:AB26,1,0)),AB27,VLOOKUP(AB27,AB$3:AB26,1,0)+1))</f>
        <v/>
      </c>
      <c r="AD27" s="1" t="str">
        <f>IF(AC27="","",IF(ISERROR(VLOOKUP(AC27,AC$3:AC26,1,0)),AC27,VLOOKUP(AC27,AC$3:AC26,1,0)+1))</f>
        <v/>
      </c>
      <c r="AE27" s="1" t="str">
        <f>IF(AD27="","",IF(ISERROR(VLOOKUP(AD27,AD$3:AD26,1,0)),AD27,VLOOKUP(AD27,AD$3:AD26,1,0)+1))</f>
        <v/>
      </c>
      <c r="AG27" s="178" t="str">
        <f t="shared" ref="AG27:AG38" si="16">IF(Z27="","",LEFT(Z27,5)*1)</f>
        <v/>
      </c>
      <c r="AH27" s="1" t="str">
        <f t="shared" ref="AH27:AH38" si="17">IF(Z27="","",RIGHT(Z27,LEN(Z27)-5))</f>
        <v/>
      </c>
    </row>
    <row r="28" spans="1:34" x14ac:dyDescent="0.15">
      <c r="A28" s="173">
        <f t="shared" si="14"/>
        <v>0</v>
      </c>
      <c r="B28" s="173">
        <f t="shared" si="15"/>
        <v>0</v>
      </c>
      <c r="C28" s="66"/>
      <c r="D28" s="216"/>
      <c r="E28" s="53"/>
      <c r="F28" s="53"/>
      <c r="G28" s="189"/>
      <c r="H28" s="212" t="str">
        <f t="shared" ref="H28:H36" si="18">IF(C28="","",IFERROR(VLOOKUP(G28,$U$7:$W$35,2,0),"Missing"))</f>
        <v/>
      </c>
      <c r="I28" s="212" t="str">
        <f t="shared" ref="I28:I36" si="19">IF(C28="","",VLOOKUP(G28,$U$8:$W$35,3,0))</f>
        <v/>
      </c>
      <c r="J28" s="175"/>
      <c r="K28" s="24" t="str">
        <f t="shared" si="10"/>
        <v/>
      </c>
      <c r="L28" s="9"/>
      <c r="M28" s="8"/>
      <c r="N28" s="8"/>
      <c r="O28" s="36">
        <f t="shared" si="12"/>
        <v>0</v>
      </c>
      <c r="Q28" s="219" t="str">
        <f t="shared" si="13"/>
        <v/>
      </c>
      <c r="R28" s="219" t="str">
        <f>IFERROR(IF(VLOOKUP(Q28,Q$4:Q27,1,0)=Q28,"","New"),"New")</f>
        <v/>
      </c>
      <c r="S28" s="241">
        <f t="shared" si="11"/>
        <v>0</v>
      </c>
      <c r="T28" s="241"/>
      <c r="U28" s="1" t="s">
        <v>238</v>
      </c>
      <c r="V28" s="1" t="s">
        <v>244</v>
      </c>
      <c r="W28" s="1" t="s">
        <v>19</v>
      </c>
      <c r="Y28" s="1" t="str">
        <f t="shared" si="3"/>
        <v/>
      </c>
      <c r="Z28" s="1" t="str">
        <f>IF(ISERROR(VLOOKUP(Y28,Z$3:Z27,1,0)),Y28,"")</f>
        <v/>
      </c>
      <c r="AA28" s="1" t="str">
        <f t="shared" si="4"/>
        <v/>
      </c>
      <c r="AB28" s="1" t="str">
        <f>IF(AA28="","",IF(ISERROR(VLOOKUP(AA28,AA$3:AA27,1,0)),AA28,VLOOKUP(AA28,AA$3:AA27,1,0)+1))</f>
        <v/>
      </c>
      <c r="AC28" s="1" t="str">
        <f>IF(AB28="","",IF(ISERROR(VLOOKUP(AB28,AB$3:AB27,1,0)),AB28,VLOOKUP(AB28,AB$3:AB27,1,0)+1))</f>
        <v/>
      </c>
      <c r="AD28" s="1" t="str">
        <f>IF(AC28="","",IF(ISERROR(VLOOKUP(AC28,AC$3:AC27,1,0)),AC28,VLOOKUP(AC28,AC$3:AC27,1,0)+1))</f>
        <v/>
      </c>
      <c r="AE28" s="1" t="str">
        <f>IF(AD28="","",IF(ISERROR(VLOOKUP(AD28,AD$3:AD27,1,0)),AD28,VLOOKUP(AD28,AD$3:AD27,1,0)+1))</f>
        <v/>
      </c>
      <c r="AG28" s="178" t="str">
        <f t="shared" si="16"/>
        <v/>
      </c>
      <c r="AH28" s="1" t="str">
        <f t="shared" si="17"/>
        <v/>
      </c>
    </row>
    <row r="29" spans="1:34" x14ac:dyDescent="0.15">
      <c r="A29" s="173">
        <f t="shared" si="14"/>
        <v>0</v>
      </c>
      <c r="B29" s="173">
        <f t="shared" si="15"/>
        <v>0</v>
      </c>
      <c r="C29" s="65"/>
      <c r="D29" s="217"/>
      <c r="E29" s="52"/>
      <c r="F29" s="52"/>
      <c r="G29" s="188"/>
      <c r="H29" s="213" t="str">
        <f t="shared" si="18"/>
        <v/>
      </c>
      <c r="I29" s="213" t="str">
        <f t="shared" si="19"/>
        <v/>
      </c>
      <c r="J29" s="174"/>
      <c r="K29" s="23" t="str">
        <f t="shared" si="10"/>
        <v/>
      </c>
      <c r="L29" s="9"/>
      <c r="M29" s="9"/>
      <c r="N29" s="9"/>
      <c r="O29" s="36">
        <f t="shared" si="12"/>
        <v>0</v>
      </c>
      <c r="Q29" s="219" t="str">
        <f t="shared" si="13"/>
        <v/>
      </c>
      <c r="R29" s="219" t="str">
        <f>IFERROR(IF(VLOOKUP(Q29,Q$4:Q28,1,0)=Q29,"","New"),"New")</f>
        <v/>
      </c>
      <c r="S29" s="241">
        <f t="shared" si="11"/>
        <v>0</v>
      </c>
      <c r="T29" s="241"/>
      <c r="U29" s="1" t="s">
        <v>237</v>
      </c>
      <c r="V29" s="1" t="s">
        <v>245</v>
      </c>
      <c r="W29" s="1" t="s">
        <v>19</v>
      </c>
      <c r="Y29" s="1" t="str">
        <f t="shared" si="3"/>
        <v/>
      </c>
      <c r="Z29" s="1" t="str">
        <f>IF(ISERROR(VLOOKUP(Y29,Z$3:Z28,1,0)),Y29,"")</f>
        <v/>
      </c>
      <c r="AA29" s="1" t="str">
        <f t="shared" si="4"/>
        <v/>
      </c>
      <c r="AB29" s="1" t="str">
        <f>IF(AA29="","",IF(ISERROR(VLOOKUP(AA29,AA$3:AA28,1,0)),AA29,VLOOKUP(AA29,AA$3:AA28,1,0)+1))</f>
        <v/>
      </c>
      <c r="AC29" s="1" t="str">
        <f>IF(AB29="","",IF(ISERROR(VLOOKUP(AB29,AB$3:AB28,1,0)),AB29,VLOOKUP(AB29,AB$3:AB28,1,0)+1))</f>
        <v/>
      </c>
      <c r="AD29" s="1" t="str">
        <f>IF(AC29="","",IF(ISERROR(VLOOKUP(AC29,AC$3:AC28,1,0)),AC29,VLOOKUP(AC29,AC$3:AC28,1,0)+1))</f>
        <v/>
      </c>
      <c r="AE29" s="1" t="str">
        <f>IF(AD29="","",IF(ISERROR(VLOOKUP(AD29,AD$3:AD28,1,0)),AD29,VLOOKUP(AD29,AD$3:AD28,1,0)+1))</f>
        <v/>
      </c>
      <c r="AG29" s="178" t="str">
        <f t="shared" si="16"/>
        <v/>
      </c>
      <c r="AH29" s="1" t="str">
        <f t="shared" si="17"/>
        <v/>
      </c>
    </row>
    <row r="30" spans="1:34" x14ac:dyDescent="0.15">
      <c r="A30" s="173">
        <f t="shared" si="14"/>
        <v>0</v>
      </c>
      <c r="B30" s="173">
        <f t="shared" si="15"/>
        <v>0</v>
      </c>
      <c r="C30" s="67"/>
      <c r="D30" s="218"/>
      <c r="E30" s="54"/>
      <c r="F30" s="54"/>
      <c r="G30" s="190"/>
      <c r="H30" s="214" t="str">
        <f t="shared" si="18"/>
        <v/>
      </c>
      <c r="I30" s="214" t="str">
        <f t="shared" si="19"/>
        <v/>
      </c>
      <c r="J30" s="176"/>
      <c r="K30" s="25" t="str">
        <f t="shared" si="10"/>
        <v/>
      </c>
      <c r="L30" s="10"/>
      <c r="M30" s="10"/>
      <c r="N30" s="10"/>
      <c r="O30" s="57">
        <f t="shared" si="12"/>
        <v>0</v>
      </c>
      <c r="Q30" s="219" t="str">
        <f t="shared" si="13"/>
        <v/>
      </c>
      <c r="R30" s="219" t="str">
        <f>IFERROR(IF(VLOOKUP(Q30,Q$4:Q29,1,0)=Q30,"","New"),"New")</f>
        <v/>
      </c>
      <c r="S30" s="241">
        <f t="shared" si="11"/>
        <v>0</v>
      </c>
      <c r="T30" s="241"/>
      <c r="Y30" s="1" t="str">
        <f t="shared" si="3"/>
        <v/>
      </c>
      <c r="Z30" s="1" t="str">
        <f>IF(ISERROR(VLOOKUP(Y30,Z$3:Z29,1,0)),Y30,"")</f>
        <v/>
      </c>
      <c r="AA30" s="1" t="str">
        <f t="shared" si="4"/>
        <v/>
      </c>
      <c r="AB30" s="1" t="str">
        <f>IF(AA30="","",IF(ISERROR(VLOOKUP(AA30,AA$3:AA29,1,0)),AA30,VLOOKUP(AA30,AA$3:AA29,1,0)+1))</f>
        <v/>
      </c>
      <c r="AC30" s="1" t="str">
        <f>IF(AB30="","",IF(ISERROR(VLOOKUP(AB30,AB$3:AB29,1,0)),AB30,VLOOKUP(AB30,AB$3:AB29,1,0)+1))</f>
        <v/>
      </c>
      <c r="AD30" s="1" t="str">
        <f>IF(AC30="","",IF(ISERROR(VLOOKUP(AC30,AC$3:AC29,1,0)),AC30,VLOOKUP(AC30,AC$3:AC29,1,0)+1))</f>
        <v/>
      </c>
      <c r="AE30" s="1" t="str">
        <f>IF(AD30="","",IF(ISERROR(VLOOKUP(AD30,AD$3:AD29,1,0)),AD30,VLOOKUP(AD30,AD$3:AD29,1,0)+1))</f>
        <v/>
      </c>
      <c r="AG30" s="178" t="str">
        <f t="shared" si="16"/>
        <v/>
      </c>
      <c r="AH30" s="1" t="str">
        <f t="shared" si="17"/>
        <v/>
      </c>
    </row>
    <row r="31" spans="1:34" x14ac:dyDescent="0.15">
      <c r="A31" s="173">
        <f t="shared" si="14"/>
        <v>0</v>
      </c>
      <c r="B31" s="173">
        <f t="shared" si="15"/>
        <v>0</v>
      </c>
      <c r="C31" s="66"/>
      <c r="D31" s="216"/>
      <c r="E31" s="53"/>
      <c r="F31" s="53"/>
      <c r="G31" s="189"/>
      <c r="H31" s="212" t="str">
        <f t="shared" si="18"/>
        <v/>
      </c>
      <c r="I31" s="212" t="str">
        <f t="shared" si="19"/>
        <v/>
      </c>
      <c r="J31" s="175"/>
      <c r="K31" s="24" t="str">
        <f t="shared" si="10"/>
        <v/>
      </c>
      <c r="L31" s="9"/>
      <c r="M31" s="8"/>
      <c r="N31" s="8"/>
      <c r="O31" s="36">
        <f t="shared" si="12"/>
        <v>0</v>
      </c>
      <c r="Q31" s="219" t="str">
        <f t="shared" si="13"/>
        <v/>
      </c>
      <c r="R31" s="219" t="str">
        <f>IFERROR(IF(VLOOKUP(Q31,Q$4:Q30,1,0)=Q31,"","New"),"New")</f>
        <v/>
      </c>
      <c r="S31" s="241">
        <f t="shared" si="11"/>
        <v>0</v>
      </c>
      <c r="T31" s="241"/>
      <c r="Y31" s="1" t="str">
        <f t="shared" si="3"/>
        <v/>
      </c>
      <c r="Z31" s="1" t="str">
        <f>IF(ISERROR(VLOOKUP(Y31,Z$3:Z30,1,0)),Y31,"")</f>
        <v/>
      </c>
      <c r="AA31" s="1" t="str">
        <f t="shared" si="4"/>
        <v/>
      </c>
      <c r="AB31" s="1" t="str">
        <f>IF(AA31="","",IF(ISERROR(VLOOKUP(AA31,AA$3:AA30,1,0)),AA31,VLOOKUP(AA31,AA$3:AA30,1,0)+1))</f>
        <v/>
      </c>
      <c r="AC31" s="1" t="str">
        <f>IF(AB31="","",IF(ISERROR(VLOOKUP(AB31,AB$3:AB30,1,0)),AB31,VLOOKUP(AB31,AB$3:AB30,1,0)+1))</f>
        <v/>
      </c>
      <c r="AD31" s="1" t="str">
        <f>IF(AC31="","",IF(ISERROR(VLOOKUP(AC31,AC$3:AC30,1,0)),AC31,VLOOKUP(AC31,AC$3:AC30,1,0)+1))</f>
        <v/>
      </c>
      <c r="AE31" s="1" t="str">
        <f>IF(AD31="","",IF(ISERROR(VLOOKUP(AD31,AD$3:AD30,1,0)),AD31,VLOOKUP(AD31,AD$3:AD30,1,0)+1))</f>
        <v/>
      </c>
      <c r="AG31" s="178" t="str">
        <f t="shared" si="16"/>
        <v/>
      </c>
      <c r="AH31" s="1" t="str">
        <f t="shared" si="17"/>
        <v/>
      </c>
    </row>
    <row r="32" spans="1:34" x14ac:dyDescent="0.15">
      <c r="A32" s="173">
        <f t="shared" ref="A32:A37" si="20">IF(F32="Yes",A31+1,A31)</f>
        <v>0</v>
      </c>
      <c r="B32" s="173">
        <f t="shared" ref="B32:B37" si="21">IF(I32="Other",B31+1,B31)</f>
        <v>0</v>
      </c>
      <c r="C32" s="65"/>
      <c r="D32" s="217"/>
      <c r="E32" s="52"/>
      <c r="F32" s="52"/>
      <c r="G32" s="188"/>
      <c r="H32" s="213" t="str">
        <f t="shared" si="18"/>
        <v/>
      </c>
      <c r="I32" s="213" t="str">
        <f t="shared" si="19"/>
        <v/>
      </c>
      <c r="J32" s="174"/>
      <c r="K32" s="23" t="str">
        <f t="shared" si="10"/>
        <v/>
      </c>
      <c r="L32" s="9"/>
      <c r="M32" s="9"/>
      <c r="N32" s="9"/>
      <c r="O32" s="36">
        <f t="shared" si="12"/>
        <v>0</v>
      </c>
      <c r="Q32" s="219" t="str">
        <f t="shared" si="13"/>
        <v/>
      </c>
      <c r="R32" s="219" t="str">
        <f>IFERROR(IF(VLOOKUP(Q32,Q$4:Q31,1,0)=Q32,"","New"),"New")</f>
        <v/>
      </c>
      <c r="S32" s="241">
        <f t="shared" si="11"/>
        <v>0</v>
      </c>
      <c r="T32" s="241"/>
      <c r="Y32" s="1" t="str">
        <f t="shared" ref="Y32:Y37" si="22">C32&amp;D32</f>
        <v/>
      </c>
      <c r="Z32" s="1" t="str">
        <f>IF(ISERROR(VLOOKUP(Y32,Z$3:Z31,1,0)),Y32,"")</f>
        <v/>
      </c>
      <c r="AA32" s="1" t="str">
        <f t="shared" si="4"/>
        <v/>
      </c>
      <c r="AB32" s="1" t="str">
        <f>IF(AA32="","",IF(ISERROR(VLOOKUP(AA32,AA$3:AA31,1,0)),AA32,VLOOKUP(AA32,AA$3:AA31,1,0)+1))</f>
        <v/>
      </c>
      <c r="AC32" s="1" t="str">
        <f>IF(AB32="","",IF(ISERROR(VLOOKUP(AB32,AB$3:AB31,1,0)),AB32,VLOOKUP(AB32,AB$3:AB31,1,0)+1))</f>
        <v/>
      </c>
      <c r="AD32" s="1" t="str">
        <f>IF(AC32="","",IF(ISERROR(VLOOKUP(AC32,AC$3:AC31,1,0)),AC32,VLOOKUP(AC32,AC$3:AC31,1,0)+1))</f>
        <v/>
      </c>
      <c r="AE32" s="1" t="str">
        <f>IF(AD32="","",IF(ISERROR(VLOOKUP(AD32,AD$3:AD31,1,0)),AD32,VLOOKUP(AD32,AD$3:AD31,1,0)+1))</f>
        <v/>
      </c>
      <c r="AG32" s="178" t="str">
        <f t="shared" si="16"/>
        <v/>
      </c>
      <c r="AH32" s="1" t="str">
        <f t="shared" si="17"/>
        <v/>
      </c>
    </row>
    <row r="33" spans="1:34" x14ac:dyDescent="0.15">
      <c r="A33" s="173">
        <f t="shared" si="20"/>
        <v>0</v>
      </c>
      <c r="B33" s="173">
        <f t="shared" si="21"/>
        <v>0</v>
      </c>
      <c r="C33" s="67"/>
      <c r="D33" s="218"/>
      <c r="E33" s="54"/>
      <c r="F33" s="54"/>
      <c r="G33" s="190"/>
      <c r="H33" s="214" t="str">
        <f t="shared" si="18"/>
        <v/>
      </c>
      <c r="I33" s="214" t="str">
        <f t="shared" si="19"/>
        <v/>
      </c>
      <c r="J33" s="176"/>
      <c r="K33" s="25" t="str">
        <f t="shared" si="10"/>
        <v/>
      </c>
      <c r="L33" s="10"/>
      <c r="M33" s="10"/>
      <c r="N33" s="10"/>
      <c r="O33" s="57">
        <f t="shared" si="12"/>
        <v>0</v>
      </c>
      <c r="Q33" s="219" t="str">
        <f t="shared" si="13"/>
        <v/>
      </c>
      <c r="R33" s="219" t="str">
        <f>IFERROR(IF(VLOOKUP(Q33,Q$4:Q32,1,0)=Q33,"","New"),"New")</f>
        <v/>
      </c>
      <c r="S33" s="241">
        <f t="shared" si="11"/>
        <v>0</v>
      </c>
      <c r="T33" s="241"/>
      <c r="Y33" s="1" t="str">
        <f t="shared" si="22"/>
        <v/>
      </c>
      <c r="Z33" s="1" t="str">
        <f>IF(ISERROR(VLOOKUP(Y33,Z$3:Z32,1,0)),Y33,"")</f>
        <v/>
      </c>
      <c r="AA33" s="1" t="str">
        <f t="shared" si="4"/>
        <v/>
      </c>
      <c r="AB33" s="1" t="str">
        <f>IF(AA33="","",IF(ISERROR(VLOOKUP(AA33,AA$3:AA32,1,0)),AA33,VLOOKUP(AA33,AA$3:AA32,1,0)+1))</f>
        <v/>
      </c>
      <c r="AC33" s="1" t="str">
        <f>IF(AB33="","",IF(ISERROR(VLOOKUP(AB33,AB$3:AB32,1,0)),AB33,VLOOKUP(AB33,AB$3:AB32,1,0)+1))</f>
        <v/>
      </c>
      <c r="AD33" s="1" t="str">
        <f>IF(AC33="","",IF(ISERROR(VLOOKUP(AC33,AC$3:AC32,1,0)),AC33,VLOOKUP(AC33,AC$3:AC32,1,0)+1))</f>
        <v/>
      </c>
      <c r="AE33" s="1" t="str">
        <f>IF(AD33="","",IF(ISERROR(VLOOKUP(AD33,AD$3:AD32,1,0)),AD33,VLOOKUP(AD33,AD$3:AD32,1,0)+1))</f>
        <v/>
      </c>
      <c r="AG33" s="178" t="str">
        <f t="shared" si="16"/>
        <v/>
      </c>
      <c r="AH33" s="1" t="str">
        <f t="shared" si="17"/>
        <v/>
      </c>
    </row>
    <row r="34" spans="1:34" x14ac:dyDescent="0.15">
      <c r="A34" s="173">
        <f t="shared" si="20"/>
        <v>0</v>
      </c>
      <c r="B34" s="173">
        <f t="shared" si="21"/>
        <v>0</v>
      </c>
      <c r="C34" s="66"/>
      <c r="D34" s="216"/>
      <c r="E34" s="53"/>
      <c r="F34" s="53"/>
      <c r="G34" s="189"/>
      <c r="H34" s="212" t="str">
        <f t="shared" si="18"/>
        <v/>
      </c>
      <c r="I34" s="212" t="str">
        <f t="shared" si="19"/>
        <v/>
      </c>
      <c r="J34" s="175"/>
      <c r="K34" s="24" t="str">
        <f t="shared" si="10"/>
        <v/>
      </c>
      <c r="L34" s="9"/>
      <c r="M34" s="8"/>
      <c r="N34" s="8"/>
      <c r="O34" s="36">
        <f t="shared" si="12"/>
        <v>0</v>
      </c>
      <c r="Q34" s="219" t="str">
        <f t="shared" si="13"/>
        <v/>
      </c>
      <c r="R34" s="219" t="str">
        <f>IFERROR(IF(VLOOKUP(Q34,Q$4:Q33,1,0)=Q34,"","New"),"New")</f>
        <v/>
      </c>
      <c r="S34" s="241">
        <f t="shared" si="11"/>
        <v>0</v>
      </c>
      <c r="T34" s="241"/>
      <c r="Y34" s="1" t="str">
        <f t="shared" si="22"/>
        <v/>
      </c>
      <c r="Z34" s="1" t="str">
        <f>IF(ISERROR(VLOOKUP(Y34,Z$3:Z33,1,0)),Y34,"")</f>
        <v/>
      </c>
      <c r="AA34" s="1" t="str">
        <f t="shared" si="4"/>
        <v/>
      </c>
      <c r="AB34" s="1" t="str">
        <f>IF(AA34="","",IF(ISERROR(VLOOKUP(AA34,AA$3:AA33,1,0)),AA34,VLOOKUP(AA34,AA$3:AA33,1,0)+1))</f>
        <v/>
      </c>
      <c r="AC34" s="1" t="str">
        <f>IF(AB34="","",IF(ISERROR(VLOOKUP(AB34,AB$3:AB33,1,0)),AB34,VLOOKUP(AB34,AB$3:AB33,1,0)+1))</f>
        <v/>
      </c>
      <c r="AD34" s="1" t="str">
        <f>IF(AC34="","",IF(ISERROR(VLOOKUP(AC34,AC$3:AC33,1,0)),AC34,VLOOKUP(AC34,AC$3:AC33,1,0)+1))</f>
        <v/>
      </c>
      <c r="AE34" s="1" t="str">
        <f>IF(AD34="","",IF(ISERROR(VLOOKUP(AD34,AD$3:AD33,1,0)),AD34,VLOOKUP(AD34,AD$3:AD33,1,0)+1))</f>
        <v/>
      </c>
      <c r="AG34" s="178" t="str">
        <f t="shared" si="16"/>
        <v/>
      </c>
      <c r="AH34" s="1" t="str">
        <f t="shared" si="17"/>
        <v/>
      </c>
    </row>
    <row r="35" spans="1:34" x14ac:dyDescent="0.15">
      <c r="A35" s="173">
        <f t="shared" si="20"/>
        <v>0</v>
      </c>
      <c r="B35" s="173">
        <f t="shared" si="21"/>
        <v>0</v>
      </c>
      <c r="C35" s="65"/>
      <c r="D35" s="217"/>
      <c r="E35" s="52"/>
      <c r="F35" s="52"/>
      <c r="G35" s="188"/>
      <c r="H35" s="213" t="str">
        <f t="shared" si="18"/>
        <v/>
      </c>
      <c r="I35" s="213" t="str">
        <f t="shared" si="19"/>
        <v/>
      </c>
      <c r="J35" s="174"/>
      <c r="K35" s="23" t="str">
        <f t="shared" si="10"/>
        <v/>
      </c>
      <c r="L35" s="9"/>
      <c r="M35" s="9"/>
      <c r="N35" s="9"/>
      <c r="O35" s="36">
        <f t="shared" si="12"/>
        <v>0</v>
      </c>
      <c r="Q35" s="219" t="str">
        <f t="shared" si="13"/>
        <v/>
      </c>
      <c r="R35" s="219" t="str">
        <f>IFERROR(IF(VLOOKUP(Q35,Q$4:Q34,1,0)=Q35,"","New"),"New")</f>
        <v/>
      </c>
      <c r="S35" s="241">
        <f t="shared" si="11"/>
        <v>0</v>
      </c>
      <c r="T35" s="241"/>
      <c r="Y35" s="1" t="str">
        <f t="shared" si="22"/>
        <v/>
      </c>
      <c r="Z35" s="1" t="str">
        <f>IF(ISERROR(VLOOKUP(Y35,Z$3:Z34,1,0)),Y35,"")</f>
        <v/>
      </c>
      <c r="AA35" s="1" t="str">
        <f t="shared" si="4"/>
        <v/>
      </c>
      <c r="AB35" s="1" t="str">
        <f>IF(AA35="","",IF(ISERROR(VLOOKUP(AA35,AA$3:AA34,1,0)),AA35,VLOOKUP(AA35,AA$3:AA34,1,0)+1))</f>
        <v/>
      </c>
      <c r="AC35" s="1" t="str">
        <f>IF(AB35="","",IF(ISERROR(VLOOKUP(AB35,AB$3:AB34,1,0)),AB35,VLOOKUP(AB35,AB$3:AB34,1,0)+1))</f>
        <v/>
      </c>
      <c r="AD35" s="1" t="str">
        <f>IF(AC35="","",IF(ISERROR(VLOOKUP(AC35,AC$3:AC34,1,0)),AC35,VLOOKUP(AC35,AC$3:AC34,1,0)+1))</f>
        <v/>
      </c>
      <c r="AE35" s="1" t="str">
        <f>IF(AD35="","",IF(ISERROR(VLOOKUP(AD35,AD$3:AD34,1,0)),AD35,VLOOKUP(AD35,AD$3:AD34,1,0)+1))</f>
        <v/>
      </c>
      <c r="AG35" s="178" t="str">
        <f t="shared" si="16"/>
        <v/>
      </c>
      <c r="AH35" s="1" t="str">
        <f t="shared" si="17"/>
        <v/>
      </c>
    </row>
    <row r="36" spans="1:34" x14ac:dyDescent="0.15">
      <c r="A36" s="173">
        <f t="shared" si="20"/>
        <v>0</v>
      </c>
      <c r="B36" s="173">
        <f t="shared" si="21"/>
        <v>0</v>
      </c>
      <c r="C36" s="67"/>
      <c r="D36" s="218"/>
      <c r="E36" s="54"/>
      <c r="F36" s="54"/>
      <c r="G36" s="190"/>
      <c r="H36" s="214" t="str">
        <f t="shared" si="18"/>
        <v/>
      </c>
      <c r="I36" s="214" t="str">
        <f t="shared" si="19"/>
        <v/>
      </c>
      <c r="J36" s="176"/>
      <c r="K36" s="25" t="str">
        <f t="shared" si="10"/>
        <v/>
      </c>
      <c r="L36" s="10"/>
      <c r="M36" s="10"/>
      <c r="N36" s="10"/>
      <c r="O36" s="57">
        <f t="shared" si="12"/>
        <v>0</v>
      </c>
      <c r="Q36" s="219" t="str">
        <f t="shared" si="13"/>
        <v/>
      </c>
      <c r="R36" s="219" t="str">
        <f>IFERROR(IF(VLOOKUP(Q36,Q$4:Q35,1,0)=Q36,"","New"),"New")</f>
        <v/>
      </c>
      <c r="S36" s="241">
        <f t="shared" si="11"/>
        <v>0</v>
      </c>
      <c r="T36" s="241"/>
      <c r="Y36" s="1" t="str">
        <f t="shared" si="22"/>
        <v/>
      </c>
      <c r="Z36" s="1" t="str">
        <f>IF(ISERROR(VLOOKUP(Y36,Z$3:Z35,1,0)),Y36,"")</f>
        <v/>
      </c>
      <c r="AA36" s="1" t="str">
        <f t="shared" si="4"/>
        <v/>
      </c>
      <c r="AB36" s="1" t="str">
        <f>IF(AA36="","",IF(ISERROR(VLOOKUP(AA36,AA$3:AA35,1,0)),AA36,VLOOKUP(AA36,AA$3:AA35,1,0)+1))</f>
        <v/>
      </c>
      <c r="AC36" s="1" t="str">
        <f>IF(AB36="","",IF(ISERROR(VLOOKUP(AB36,AB$3:AB35,1,0)),AB36,VLOOKUP(AB36,AB$3:AB35,1,0)+1))</f>
        <v/>
      </c>
      <c r="AD36" s="1" t="str">
        <f>IF(AC36="","",IF(ISERROR(VLOOKUP(AC36,AC$3:AC35,1,0)),AC36,VLOOKUP(AC36,AC$3:AC35,1,0)+1))</f>
        <v/>
      </c>
      <c r="AE36" s="1" t="str">
        <f>IF(AD36="","",IF(ISERROR(VLOOKUP(AD36,AD$3:AD35,1,0)),AD36,VLOOKUP(AD36,AD$3:AD35,1,0)+1))</f>
        <v/>
      </c>
      <c r="AG36" s="178" t="str">
        <f t="shared" si="16"/>
        <v/>
      </c>
      <c r="AH36" s="1" t="str">
        <f t="shared" si="17"/>
        <v/>
      </c>
    </row>
    <row r="37" spans="1:34" x14ac:dyDescent="0.15">
      <c r="A37" s="173">
        <f t="shared" si="20"/>
        <v>0</v>
      </c>
      <c r="B37" s="173">
        <f t="shared" si="21"/>
        <v>0</v>
      </c>
      <c r="C37" s="66"/>
      <c r="D37" s="216"/>
      <c r="E37" s="53"/>
      <c r="F37" s="53"/>
      <c r="G37" s="189"/>
      <c r="H37" s="212" t="str">
        <f>IF(C37="","",IFERROR(VLOOKUP(G37,$U$7:$W$35,2,0),"Missing"))</f>
        <v/>
      </c>
      <c r="I37" s="212" t="str">
        <f>IF(C37="","",VLOOKUP(G37,$U$8:$W$35,3,0))</f>
        <v/>
      </c>
      <c r="J37" s="175"/>
      <c r="K37" s="24" t="str">
        <f t="shared" si="10"/>
        <v/>
      </c>
      <c r="L37" s="9"/>
      <c r="M37" s="8"/>
      <c r="N37" s="8"/>
      <c r="O37" s="36">
        <f t="shared" si="12"/>
        <v>0</v>
      </c>
      <c r="Q37" s="219" t="str">
        <f t="shared" si="13"/>
        <v/>
      </c>
      <c r="R37" s="219" t="str">
        <f>IFERROR(IF(VLOOKUP(Q37,Q$4:Q36,1,0)=Q37,"","New"),"New")</f>
        <v/>
      </c>
      <c r="S37" s="241">
        <f t="shared" si="11"/>
        <v>0</v>
      </c>
      <c r="T37" s="241"/>
      <c r="Y37" s="1" t="str">
        <f t="shared" si="22"/>
        <v/>
      </c>
      <c r="Z37" s="1" t="str">
        <f>IF(ISERROR(VLOOKUP(Y37,Z$3:Z36,1,0)),Y37,"")</f>
        <v/>
      </c>
      <c r="AA37" s="1" t="str">
        <f t="shared" si="4"/>
        <v/>
      </c>
      <c r="AB37" s="1" t="str">
        <f>IF(AA37="","",IF(ISERROR(VLOOKUP(AA37,AA$3:AA36,1,0)),AA37,VLOOKUP(AA37,AA$3:AA36,1,0)+1))</f>
        <v/>
      </c>
      <c r="AC37" s="1" t="str">
        <f>IF(AB37="","",IF(ISERROR(VLOOKUP(AB37,AB$3:AB36,1,0)),AB37,VLOOKUP(AB37,AB$3:AB36,1,0)+1))</f>
        <v/>
      </c>
      <c r="AD37" s="1" t="str">
        <f>IF(AC37="","",IF(ISERROR(VLOOKUP(AC37,AC$3:AC36,1,0)),AC37,VLOOKUP(AC37,AC$3:AC36,1,0)+1))</f>
        <v/>
      </c>
      <c r="AE37" s="1" t="str">
        <f>IF(AD37="","",IF(ISERROR(VLOOKUP(AD37,AD$3:AD36,1,0)),AD37,VLOOKUP(AD37,AD$3:AD36,1,0)+1))</f>
        <v/>
      </c>
      <c r="AG37" s="178" t="str">
        <f t="shared" si="16"/>
        <v/>
      </c>
      <c r="AH37" s="1" t="str">
        <f t="shared" si="17"/>
        <v/>
      </c>
    </row>
    <row r="38" spans="1:34" hidden="1" x14ac:dyDescent="0.15">
      <c r="C38" s="192">
        <f>Request!B16</f>
        <v>0</v>
      </c>
      <c r="D38" s="193">
        <f>Request!B13</f>
        <v>0</v>
      </c>
      <c r="E38" s="194" t="s">
        <v>175</v>
      </c>
      <c r="F38" s="194" t="s">
        <v>175</v>
      </c>
      <c r="G38" s="195" t="s">
        <v>233</v>
      </c>
      <c r="H38" s="223" t="str">
        <f>IF(C38="","",IFERROR(VLOOKUP(G38,$U$7:$W$35,2,0),"Missing"))</f>
        <v>79H132</v>
      </c>
      <c r="I38" s="223" t="str">
        <f>IF(C38="","",VLOOKUP(G38,$U$8:$W$35,3,0))</f>
        <v>Car Rental</v>
      </c>
      <c r="J38" s="196" t="s">
        <v>819</v>
      </c>
      <c r="K38" s="197"/>
      <c r="L38" s="198">
        <v>0</v>
      </c>
      <c r="M38" s="198"/>
      <c r="N38" s="198"/>
      <c r="O38" s="199">
        <f t="shared" ref="O38" si="23">IF(C38="",0,IF(G38="Personal Car",L38*0.58,L38+M38-N38))</f>
        <v>0</v>
      </c>
      <c r="S38" s="240"/>
      <c r="T38" s="240"/>
      <c r="Y38" s="1" t="str">
        <f>C38&amp;D38</f>
        <v>00</v>
      </c>
      <c r="Z38" s="1" t="str">
        <f>IF(Y38=Y3,Y38,IF(ISERROR(VLOOKUP(Y38,Z$3:Z37,1,0)),Y38,""))</f>
        <v>00</v>
      </c>
      <c r="AA38" s="1">
        <f>IFERROR(RANK(AG38,$AG$3:$AG$38,1)*10,"")</f>
        <v>10</v>
      </c>
      <c r="AB38" s="1">
        <f>IF(AA38="","",IF(ISERROR(VLOOKUP(AA38,AA$3:AA37,1,0)),AA38,VLOOKUP(AA38,AA$3:AA37,1,0)+1))</f>
        <v>11</v>
      </c>
      <c r="AC38" s="1">
        <f>IF(AB38="","",IF(ISERROR(VLOOKUP(AB38,AB$3:AB37,1,0)),AB38,VLOOKUP(AB38,AB$3:AB37,1,0)+1))</f>
        <v>11</v>
      </c>
      <c r="AD38" s="1">
        <f>IF(AC38="","",IF(ISERROR(VLOOKUP(AC38,AC$3:AC37,1,0)),AC38,VLOOKUP(AC38,AC$3:AC37,1,0)+1))</f>
        <v>11</v>
      </c>
      <c r="AE38" s="1">
        <f>IF(AD38="","",IF(ISERROR(VLOOKUP(AD38,AD$3:AD37,1,0)),AD38,VLOOKUP(AD38,AD$3:AD37,1,0)+1))</f>
        <v>11</v>
      </c>
      <c r="AG38" s="178">
        <f t="shared" si="16"/>
        <v>0</v>
      </c>
      <c r="AH38" s="1" t="e">
        <f t="shared" si="17"/>
        <v>#VALUE!</v>
      </c>
    </row>
    <row r="39" spans="1:34" x14ac:dyDescent="0.15">
      <c r="C39" s="37" t="s">
        <v>342</v>
      </c>
      <c r="D39" s="177"/>
      <c r="E39" s="32"/>
      <c r="F39" s="32"/>
      <c r="G39" s="31"/>
      <c r="H39" s="33"/>
      <c r="I39" s="33"/>
      <c r="J39" s="32"/>
      <c r="K39" s="30"/>
      <c r="L39" s="30"/>
      <c r="M39" s="30"/>
      <c r="N39" s="30"/>
      <c r="O39" s="34"/>
      <c r="S39" s="59"/>
      <c r="T39" s="59"/>
    </row>
    <row r="40" spans="1:34" ht="14.25" customHeight="1" x14ac:dyDescent="0.15">
      <c r="C40" s="444"/>
      <c r="D40" s="445"/>
      <c r="E40" s="445"/>
      <c r="F40" s="445"/>
      <c r="G40" s="445"/>
      <c r="H40" s="445"/>
      <c r="I40" s="445"/>
      <c r="J40" s="445"/>
      <c r="K40" s="445"/>
      <c r="L40" s="445"/>
      <c r="M40" s="445"/>
      <c r="N40" s="445"/>
      <c r="O40" s="446"/>
      <c r="S40" s="237"/>
      <c r="T40" s="237"/>
    </row>
    <row r="41" spans="1:34" ht="14.25" customHeight="1" thickBot="1" x14ac:dyDescent="0.2">
      <c r="C41" s="447"/>
      <c r="D41" s="448"/>
      <c r="E41" s="448"/>
      <c r="F41" s="448"/>
      <c r="G41" s="448"/>
      <c r="H41" s="448"/>
      <c r="I41" s="448"/>
      <c r="J41" s="448"/>
      <c r="K41" s="448"/>
      <c r="L41" s="448"/>
      <c r="M41" s="448"/>
      <c r="N41" s="448"/>
      <c r="O41" s="449"/>
      <c r="S41" s="237"/>
      <c r="T41" s="237"/>
    </row>
    <row r="42" spans="1:34" x14ac:dyDescent="0.15">
      <c r="C42" s="58" t="str">
        <f>IF(Request!B15="","",Request!B15)</f>
        <v/>
      </c>
      <c r="D42" s="58" t="str">
        <f>IF(Request!F13="","",Request!F13)</f>
        <v/>
      </c>
      <c r="E42" s="225"/>
      <c r="F42" s="35"/>
      <c r="G42" s="35"/>
      <c r="J42" s="35"/>
      <c r="K42" s="23"/>
      <c r="L42" s="23"/>
      <c r="M42" s="23"/>
      <c r="N42" s="23"/>
      <c r="O42" s="59"/>
      <c r="S42" s="59"/>
      <c r="T42" s="59"/>
    </row>
    <row r="43" spans="1:34" x14ac:dyDescent="0.15">
      <c r="C43" s="450" t="str">
        <f>IF(Request!C24="","",Request!C24)</f>
        <v/>
      </c>
      <c r="D43" s="450"/>
      <c r="E43" s="450"/>
      <c r="F43" s="450"/>
      <c r="G43" s="450"/>
      <c r="J43" s="60"/>
      <c r="K43" s="61"/>
      <c r="L43" s="61"/>
      <c r="M43" s="220">
        <f ca="1">TODAY()</f>
        <v>45673</v>
      </c>
      <c r="N43" s="61"/>
      <c r="O43" s="59"/>
      <c r="S43" s="59"/>
      <c r="T43" s="59"/>
    </row>
    <row r="44" spans="1:34" x14ac:dyDescent="0.15">
      <c r="C44" s="450"/>
      <c r="D44" s="450"/>
      <c r="E44" s="450"/>
      <c r="F44" s="450"/>
      <c r="G44" s="450"/>
      <c r="J44" s="441" t="str">
        <f>IF(Request!B5="","",Request!B5)</f>
        <v/>
      </c>
      <c r="K44" s="441"/>
      <c r="L44" s="442" t="s">
        <v>34</v>
      </c>
      <c r="M44" s="442"/>
      <c r="N44" s="442"/>
      <c r="O44" s="59">
        <f>IF(C44="",0,IF(J44="Personal Car",L44*0.535,L44+M44-N44))</f>
        <v>0</v>
      </c>
      <c r="S44" s="59"/>
      <c r="T44" s="59"/>
    </row>
    <row r="45" spans="1:34" x14ac:dyDescent="0.15">
      <c r="D45" s="62" t="s">
        <v>1023</v>
      </c>
    </row>
    <row r="46" spans="1:34" x14ac:dyDescent="0.15">
      <c r="D46" s="62" t="s">
        <v>1009</v>
      </c>
      <c r="E46" s="219">
        <f>Request!P30</f>
        <v>0.67</v>
      </c>
    </row>
    <row r="47" spans="1:34" x14ac:dyDescent="0.15">
      <c r="D47" s="62" t="s">
        <v>1012</v>
      </c>
      <c r="E47" s="406">
        <f>Request!P29</f>
        <v>25</v>
      </c>
    </row>
    <row r="48" spans="1:34" x14ac:dyDescent="0.15">
      <c r="D48" s="62" t="s">
        <v>220</v>
      </c>
      <c r="E48" s="64">
        <f>Request!P28</f>
        <v>36</v>
      </c>
    </row>
    <row r="49" spans="3:5" x14ac:dyDescent="0.15">
      <c r="D49" s="62" t="s">
        <v>1022</v>
      </c>
      <c r="E49" s="219">
        <f>Request!P27</f>
        <v>3.3</v>
      </c>
    </row>
    <row r="52" spans="3:5" x14ac:dyDescent="0.15">
      <c r="C52" s="62" t="str">
        <f>IFERROR(VLOOKUP(C51+1,Date,1,0),"")</f>
        <v/>
      </c>
    </row>
    <row r="53" spans="3:5" x14ac:dyDescent="0.15">
      <c r="C53" s="62" t="str">
        <f>IFERROR(VLOOKUP(C52+1,Date,1,0),"")</f>
        <v/>
      </c>
    </row>
    <row r="54" spans="3:5" x14ac:dyDescent="0.15">
      <c r="C54" s="62" t="str">
        <f>IFERROR(VLOOKUP(C53+1,Date,1,0),"")</f>
        <v/>
      </c>
    </row>
    <row r="55" spans="3:5" x14ac:dyDescent="0.15">
      <c r="C55" s="62" t="str">
        <f>IFERROR(VLOOKUP(C54+1,Date,1,0),"")</f>
        <v/>
      </c>
    </row>
  </sheetData>
  <sheetProtection algorithmName="SHA-512" hashValue="rD3xJyzykbghivHmwKGSFJv7I7AxXB8TPT6AQebSHnqvB2vEzVZU3ero2LSSFue7jFn157pESDHceq9piGgSUQ==" saltValue="U2mZXUIoLMuF9zayc5YDoA==" spinCount="100000" sheet="1" objects="1" scenarios="1"/>
  <mergeCells count="6">
    <mergeCell ref="C1:O1"/>
    <mergeCell ref="J44:K44"/>
    <mergeCell ref="L44:N44"/>
    <mergeCell ref="U6:W6"/>
    <mergeCell ref="C40:O41"/>
    <mergeCell ref="C43:G44"/>
  </mergeCells>
  <conditionalFormatting sqref="C3:C38">
    <cfRule type="expression" dxfId="23" priority="56">
      <formula>ISBLANK(C3)</formula>
    </cfRule>
  </conditionalFormatting>
  <conditionalFormatting sqref="D3">
    <cfRule type="expression" dxfId="21" priority="470">
      <formula>AND(#REF!="Yes",D3="")</formula>
    </cfRule>
    <cfRule type="expression" dxfId="20" priority="471">
      <formula>AND(C3="Other",D3="")</formula>
    </cfRule>
  </conditionalFormatting>
  <conditionalFormatting sqref="D38">
    <cfRule type="expression" dxfId="19" priority="237">
      <formula>AND(#REF!="Yes",D38="")</formula>
    </cfRule>
    <cfRule type="expression" dxfId="18" priority="238">
      <formula>AND(C38="Other",D38="")</formula>
    </cfRule>
  </conditionalFormatting>
  <conditionalFormatting sqref="D4:F37">
    <cfRule type="expression" dxfId="17" priority="16">
      <formula>AND($C4&lt;&gt;"",D4="")</formula>
    </cfRule>
  </conditionalFormatting>
  <conditionalFormatting sqref="E3:G37">
    <cfRule type="expression" dxfId="16" priority="59">
      <formula>AND($C3&lt;&gt;"",E3="")</formula>
    </cfRule>
  </conditionalFormatting>
  <conditionalFormatting sqref="E38:I38">
    <cfRule type="expression" dxfId="15" priority="228">
      <formula>AND($C38&lt;&gt;"",E38="")</formula>
    </cfRule>
  </conditionalFormatting>
  <conditionalFormatting sqref="H3:I37">
    <cfRule type="expression" dxfId="14" priority="4">
      <formula>AND(D3="Yes",H3="")</formula>
    </cfRule>
    <cfRule type="expression" dxfId="13" priority="5">
      <formula>AND(G3="Other",H3="")</formula>
    </cfRule>
  </conditionalFormatting>
  <conditionalFormatting sqref="H44:I44">
    <cfRule type="expression" dxfId="12" priority="459">
      <formula>AND($C44&lt;&gt;"",H44="")</formula>
    </cfRule>
  </conditionalFormatting>
  <conditionalFormatting sqref="J4:J38">
    <cfRule type="expression" dxfId="11" priority="222">
      <formula>AND(F4="Yes",J4="")</formula>
    </cfRule>
    <cfRule type="expression" dxfId="10" priority="223">
      <formula>AND(I4="Other",J4="")</formula>
    </cfRule>
  </conditionalFormatting>
  <conditionalFormatting sqref="L3">
    <cfRule type="expression" dxfId="9" priority="463">
      <formula>G3="Personal Car"</formula>
    </cfRule>
  </conditionalFormatting>
  <conditionalFormatting sqref="L3:L38">
    <cfRule type="expression" dxfId="8" priority="2">
      <formula>AND(C3&lt;&gt;"",L3="")</formula>
    </cfRule>
  </conditionalFormatting>
  <conditionalFormatting sqref="L4:L37">
    <cfRule type="expression" dxfId="7" priority="54">
      <formula>G4="Personal Car"</formula>
    </cfRule>
    <cfRule type="expression" dxfId="6" priority="55">
      <formula>G4="Gas (Personal)"</formula>
    </cfRule>
  </conditionalFormatting>
  <conditionalFormatting sqref="L38">
    <cfRule type="expression" dxfId="5" priority="225">
      <formula>J38="Personal Car"</formula>
    </cfRule>
    <cfRule type="expression" dxfId="4" priority="236">
      <formula>G38="Personal Car"</formula>
    </cfRule>
  </conditionalFormatting>
  <conditionalFormatting sqref="L44">
    <cfRule type="expression" dxfId="3" priority="450">
      <formula>AND(C44&lt;&gt;"",L44="")</formula>
    </cfRule>
    <cfRule type="expression" dxfId="2" priority="469">
      <formula>#REF!="Personal Car"</formula>
    </cfRule>
  </conditionalFormatting>
  <conditionalFormatting sqref="O3:O38 S3:T38 O44 S44:T44">
    <cfRule type="expression" dxfId="1" priority="448">
      <formula>O3=0</formula>
    </cfRule>
  </conditionalFormatting>
  <dataValidations count="5">
    <dataValidation type="time" allowBlank="1" showInputMessage="1" showErrorMessage="1" sqref="E29 E32 E35" xr:uid="{00000000-0002-0000-0200-000000000000}">
      <formula1>0</formula1>
      <formula2>0.999305555555556</formula2>
    </dataValidation>
    <dataValidation type="list" allowBlank="1" showInputMessage="1" showErrorMessage="1" sqref="F29 E30:F31 F32 E33:F34 F35 E36:F38 E3:F28" xr:uid="{00000000-0002-0000-0200-000001000000}">
      <formula1>"Yes,No"</formula1>
    </dataValidation>
    <dataValidation type="date" allowBlank="1" showInputMessage="1" showErrorMessage="1" sqref="C3:C38" xr:uid="{00000000-0002-0000-0200-000002000000}">
      <formula1>1</formula1>
      <formula2>402133</formula2>
    </dataValidation>
    <dataValidation type="decimal" allowBlank="1" showInputMessage="1" showErrorMessage="1" sqref="L3:L38" xr:uid="{00000000-0002-0000-0200-000003000000}">
      <formula1>0</formula1>
      <formula2>100000</formula2>
    </dataValidation>
    <dataValidation type="list" allowBlank="1" showInputMessage="1" showErrorMessage="1" sqref="G3:G38" xr:uid="{00000000-0002-0000-0200-000004000000}">
      <formula1>Exp_Category</formula1>
    </dataValidation>
  </dataValidations>
  <pageMargins left="0.7" right="0.7" top="0.5" bottom="0.25" header="0.3" footer="0.3"/>
  <pageSetup scale="76" orientation="landscape" r:id="rId1"/>
  <extLst>
    <ext xmlns:x14="http://schemas.microsoft.com/office/spreadsheetml/2009/9/main" uri="{78C0D931-6437-407d-A8EE-F0AAD7539E65}">
      <x14:conditionalFormattings>
        <x14:conditionalFormatting xmlns:xm="http://schemas.microsoft.com/office/excel/2006/main">
          <x14:cfRule type="expression" priority="57" id="{1CC7DC23-214C-48A6-A1D0-971625092D25}">
            <xm:f>AND(C3&gt;=Request!$B$15,C3&lt;=Request!$B$16)</xm:f>
            <x14:dxf>
              <font>
                <color auto="1"/>
              </font>
              <fill>
                <patternFill patternType="none">
                  <bgColor auto="1"/>
                </patternFill>
              </fill>
            </x14:dxf>
          </x14:cfRule>
          <xm:sqref>C3:C38</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14"/>
  <sheetViews>
    <sheetView view="pageBreakPreview" zoomScaleNormal="100" zoomScaleSheetLayoutView="100" workbookViewId="0">
      <selection activeCell="E14" sqref="E14:P15"/>
    </sheetView>
  </sheetViews>
  <sheetFormatPr baseColWidth="10" defaultColWidth="8.83203125" defaultRowHeight="13" x14ac:dyDescent="0.15"/>
  <cols>
    <col min="1" max="1" width="9" style="72" customWidth="1"/>
    <col min="2" max="2" width="7.83203125" style="72" customWidth="1"/>
    <col min="3" max="3" width="7.1640625" style="72" customWidth="1"/>
    <col min="4" max="4" width="6.6640625" style="72" customWidth="1"/>
    <col min="5" max="5" width="7.6640625" style="72" customWidth="1"/>
    <col min="6" max="6" width="7.83203125" style="72" customWidth="1"/>
    <col min="7" max="7" width="0.6640625" style="72" customWidth="1"/>
    <col min="8" max="8" width="9.1640625" style="72" customWidth="1"/>
    <col min="9" max="10" width="9.5" style="72" customWidth="1"/>
    <col min="11" max="11" width="9.6640625" style="72" customWidth="1"/>
    <col min="12" max="12" width="10.5" style="72" customWidth="1"/>
    <col min="13" max="13" width="10.33203125" style="72" customWidth="1"/>
    <col min="14" max="14" width="11.6640625" style="72" customWidth="1"/>
    <col min="15" max="15" width="11.83203125" style="72" customWidth="1"/>
    <col min="16" max="16" width="12" style="72" customWidth="1"/>
    <col min="17" max="17" width="11.83203125" style="72" customWidth="1"/>
    <col min="18" max="18" width="6" style="72" bestFit="1" customWidth="1"/>
    <col min="19" max="19" width="21" style="72" bestFit="1" customWidth="1"/>
    <col min="20" max="256" width="9" style="72"/>
    <col min="257" max="257" width="9" style="72" customWidth="1"/>
    <col min="258" max="258" width="6.6640625" style="72" customWidth="1"/>
    <col min="259" max="259" width="7.1640625" style="72" customWidth="1"/>
    <col min="260" max="260" width="6.6640625" style="72" customWidth="1"/>
    <col min="261" max="261" width="7.6640625" style="72" customWidth="1"/>
    <col min="262" max="262" width="7.83203125" style="72" customWidth="1"/>
    <col min="263" max="263" width="0.6640625" style="72" customWidth="1"/>
    <col min="264" max="264" width="9.1640625" style="72" customWidth="1"/>
    <col min="265" max="266" width="9.5" style="72" customWidth="1"/>
    <col min="267" max="267" width="9.6640625" style="72" customWidth="1"/>
    <col min="268" max="268" width="10.5" style="72" customWidth="1"/>
    <col min="269" max="269" width="10.33203125" style="72" customWidth="1"/>
    <col min="270" max="270" width="11.6640625" style="72" customWidth="1"/>
    <col min="271" max="271" width="11.83203125" style="72" customWidth="1"/>
    <col min="272" max="272" width="12" style="72" customWidth="1"/>
    <col min="273" max="273" width="11.83203125" style="72" customWidth="1"/>
    <col min="274" max="274" width="6" style="72" bestFit="1" customWidth="1"/>
    <col min="275" max="512" width="9" style="72"/>
    <col min="513" max="513" width="9" style="72" customWidth="1"/>
    <col min="514" max="514" width="6.6640625" style="72" customWidth="1"/>
    <col min="515" max="515" width="7.1640625" style="72" customWidth="1"/>
    <col min="516" max="516" width="6.6640625" style="72" customWidth="1"/>
    <col min="517" max="517" width="7.6640625" style="72" customWidth="1"/>
    <col min="518" max="518" width="7.83203125" style="72" customWidth="1"/>
    <col min="519" max="519" width="0.6640625" style="72" customWidth="1"/>
    <col min="520" max="520" width="9.1640625" style="72" customWidth="1"/>
    <col min="521" max="522" width="9.5" style="72" customWidth="1"/>
    <col min="523" max="523" width="9.6640625" style="72" customWidth="1"/>
    <col min="524" max="524" width="10.5" style="72" customWidth="1"/>
    <col min="525" max="525" width="10.33203125" style="72" customWidth="1"/>
    <col min="526" max="526" width="11.6640625" style="72" customWidth="1"/>
    <col min="527" max="527" width="11.83203125" style="72" customWidth="1"/>
    <col min="528" max="528" width="12" style="72" customWidth="1"/>
    <col min="529" max="529" width="11.83203125" style="72" customWidth="1"/>
    <col min="530" max="530" width="6" style="72" bestFit="1" customWidth="1"/>
    <col min="531" max="768" width="9" style="72"/>
    <col min="769" max="769" width="9" style="72" customWidth="1"/>
    <col min="770" max="770" width="6.6640625" style="72" customWidth="1"/>
    <col min="771" max="771" width="7.1640625" style="72" customWidth="1"/>
    <col min="772" max="772" width="6.6640625" style="72" customWidth="1"/>
    <col min="773" max="773" width="7.6640625" style="72" customWidth="1"/>
    <col min="774" max="774" width="7.83203125" style="72" customWidth="1"/>
    <col min="775" max="775" width="0.6640625" style="72" customWidth="1"/>
    <col min="776" max="776" width="9.1640625" style="72" customWidth="1"/>
    <col min="777" max="778" width="9.5" style="72" customWidth="1"/>
    <col min="779" max="779" width="9.6640625" style="72" customWidth="1"/>
    <col min="780" max="780" width="10.5" style="72" customWidth="1"/>
    <col min="781" max="781" width="10.33203125" style="72" customWidth="1"/>
    <col min="782" max="782" width="11.6640625" style="72" customWidth="1"/>
    <col min="783" max="783" width="11.83203125" style="72" customWidth="1"/>
    <col min="784" max="784" width="12" style="72" customWidth="1"/>
    <col min="785" max="785" width="11.83203125" style="72" customWidth="1"/>
    <col min="786" max="786" width="6" style="72" bestFit="1" customWidth="1"/>
    <col min="787" max="1024" width="9" style="72"/>
    <col min="1025" max="1025" width="9" style="72" customWidth="1"/>
    <col min="1026" max="1026" width="6.6640625" style="72" customWidth="1"/>
    <col min="1027" max="1027" width="7.1640625" style="72" customWidth="1"/>
    <col min="1028" max="1028" width="6.6640625" style="72" customWidth="1"/>
    <col min="1029" max="1029" width="7.6640625" style="72" customWidth="1"/>
    <col min="1030" max="1030" width="7.83203125" style="72" customWidth="1"/>
    <col min="1031" max="1031" width="0.6640625" style="72" customWidth="1"/>
    <col min="1032" max="1032" width="9.1640625" style="72" customWidth="1"/>
    <col min="1033" max="1034" width="9.5" style="72" customWidth="1"/>
    <col min="1035" max="1035" width="9.6640625" style="72" customWidth="1"/>
    <col min="1036" max="1036" width="10.5" style="72" customWidth="1"/>
    <col min="1037" max="1037" width="10.33203125" style="72" customWidth="1"/>
    <col min="1038" max="1038" width="11.6640625" style="72" customWidth="1"/>
    <col min="1039" max="1039" width="11.83203125" style="72" customWidth="1"/>
    <col min="1040" max="1040" width="12" style="72" customWidth="1"/>
    <col min="1041" max="1041" width="11.83203125" style="72" customWidth="1"/>
    <col min="1042" max="1042" width="6" style="72" bestFit="1" customWidth="1"/>
    <col min="1043" max="1280" width="9" style="72"/>
    <col min="1281" max="1281" width="9" style="72" customWidth="1"/>
    <col min="1282" max="1282" width="6.6640625" style="72" customWidth="1"/>
    <col min="1283" max="1283" width="7.1640625" style="72" customWidth="1"/>
    <col min="1284" max="1284" width="6.6640625" style="72" customWidth="1"/>
    <col min="1285" max="1285" width="7.6640625" style="72" customWidth="1"/>
    <col min="1286" max="1286" width="7.83203125" style="72" customWidth="1"/>
    <col min="1287" max="1287" width="0.6640625" style="72" customWidth="1"/>
    <col min="1288" max="1288" width="9.1640625" style="72" customWidth="1"/>
    <col min="1289" max="1290" width="9.5" style="72" customWidth="1"/>
    <col min="1291" max="1291" width="9.6640625" style="72" customWidth="1"/>
    <col min="1292" max="1292" width="10.5" style="72" customWidth="1"/>
    <col min="1293" max="1293" width="10.33203125" style="72" customWidth="1"/>
    <col min="1294" max="1294" width="11.6640625" style="72" customWidth="1"/>
    <col min="1295" max="1295" width="11.83203125" style="72" customWidth="1"/>
    <col min="1296" max="1296" width="12" style="72" customWidth="1"/>
    <col min="1297" max="1297" width="11.83203125" style="72" customWidth="1"/>
    <col min="1298" max="1298" width="6" style="72" bestFit="1" customWidth="1"/>
    <col min="1299" max="1536" width="9" style="72"/>
    <col min="1537" max="1537" width="9" style="72" customWidth="1"/>
    <col min="1538" max="1538" width="6.6640625" style="72" customWidth="1"/>
    <col min="1539" max="1539" width="7.1640625" style="72" customWidth="1"/>
    <col min="1540" max="1540" width="6.6640625" style="72" customWidth="1"/>
    <col min="1541" max="1541" width="7.6640625" style="72" customWidth="1"/>
    <col min="1542" max="1542" width="7.83203125" style="72" customWidth="1"/>
    <col min="1543" max="1543" width="0.6640625" style="72" customWidth="1"/>
    <col min="1544" max="1544" width="9.1640625" style="72" customWidth="1"/>
    <col min="1545" max="1546" width="9.5" style="72" customWidth="1"/>
    <col min="1547" max="1547" width="9.6640625" style="72" customWidth="1"/>
    <col min="1548" max="1548" width="10.5" style="72" customWidth="1"/>
    <col min="1549" max="1549" width="10.33203125" style="72" customWidth="1"/>
    <col min="1550" max="1550" width="11.6640625" style="72" customWidth="1"/>
    <col min="1551" max="1551" width="11.83203125" style="72" customWidth="1"/>
    <col min="1552" max="1552" width="12" style="72" customWidth="1"/>
    <col min="1553" max="1553" width="11.83203125" style="72" customWidth="1"/>
    <col min="1554" max="1554" width="6" style="72" bestFit="1" customWidth="1"/>
    <col min="1555" max="1792" width="9" style="72"/>
    <col min="1793" max="1793" width="9" style="72" customWidth="1"/>
    <col min="1794" max="1794" width="6.6640625" style="72" customWidth="1"/>
    <col min="1795" max="1795" width="7.1640625" style="72" customWidth="1"/>
    <col min="1796" max="1796" width="6.6640625" style="72" customWidth="1"/>
    <col min="1797" max="1797" width="7.6640625" style="72" customWidth="1"/>
    <col min="1798" max="1798" width="7.83203125" style="72" customWidth="1"/>
    <col min="1799" max="1799" width="0.6640625" style="72" customWidth="1"/>
    <col min="1800" max="1800" width="9.1640625" style="72" customWidth="1"/>
    <col min="1801" max="1802" width="9.5" style="72" customWidth="1"/>
    <col min="1803" max="1803" width="9.6640625" style="72" customWidth="1"/>
    <col min="1804" max="1804" width="10.5" style="72" customWidth="1"/>
    <col min="1805" max="1805" width="10.33203125" style="72" customWidth="1"/>
    <col min="1806" max="1806" width="11.6640625" style="72" customWidth="1"/>
    <col min="1807" max="1807" width="11.83203125" style="72" customWidth="1"/>
    <col min="1808" max="1808" width="12" style="72" customWidth="1"/>
    <col min="1809" max="1809" width="11.83203125" style="72" customWidth="1"/>
    <col min="1810" max="1810" width="6" style="72" bestFit="1" customWidth="1"/>
    <col min="1811" max="2048" width="9" style="72"/>
    <col min="2049" max="2049" width="9" style="72" customWidth="1"/>
    <col min="2050" max="2050" width="6.6640625" style="72" customWidth="1"/>
    <col min="2051" max="2051" width="7.1640625" style="72" customWidth="1"/>
    <col min="2052" max="2052" width="6.6640625" style="72" customWidth="1"/>
    <col min="2053" max="2053" width="7.6640625" style="72" customWidth="1"/>
    <col min="2054" max="2054" width="7.83203125" style="72" customWidth="1"/>
    <col min="2055" max="2055" width="0.6640625" style="72" customWidth="1"/>
    <col min="2056" max="2056" width="9.1640625" style="72" customWidth="1"/>
    <col min="2057" max="2058" width="9.5" style="72" customWidth="1"/>
    <col min="2059" max="2059" width="9.6640625" style="72" customWidth="1"/>
    <col min="2060" max="2060" width="10.5" style="72" customWidth="1"/>
    <col min="2061" max="2061" width="10.33203125" style="72" customWidth="1"/>
    <col min="2062" max="2062" width="11.6640625" style="72" customWidth="1"/>
    <col min="2063" max="2063" width="11.83203125" style="72" customWidth="1"/>
    <col min="2064" max="2064" width="12" style="72" customWidth="1"/>
    <col min="2065" max="2065" width="11.83203125" style="72" customWidth="1"/>
    <col min="2066" max="2066" width="6" style="72" bestFit="1" customWidth="1"/>
    <col min="2067" max="2304" width="9" style="72"/>
    <col min="2305" max="2305" width="9" style="72" customWidth="1"/>
    <col min="2306" max="2306" width="6.6640625" style="72" customWidth="1"/>
    <col min="2307" max="2307" width="7.1640625" style="72" customWidth="1"/>
    <col min="2308" max="2308" width="6.6640625" style="72" customWidth="1"/>
    <col min="2309" max="2309" width="7.6640625" style="72" customWidth="1"/>
    <col min="2310" max="2310" width="7.83203125" style="72" customWidth="1"/>
    <col min="2311" max="2311" width="0.6640625" style="72" customWidth="1"/>
    <col min="2312" max="2312" width="9.1640625" style="72" customWidth="1"/>
    <col min="2313" max="2314" width="9.5" style="72" customWidth="1"/>
    <col min="2315" max="2315" width="9.6640625" style="72" customWidth="1"/>
    <col min="2316" max="2316" width="10.5" style="72" customWidth="1"/>
    <col min="2317" max="2317" width="10.33203125" style="72" customWidth="1"/>
    <col min="2318" max="2318" width="11.6640625" style="72" customWidth="1"/>
    <col min="2319" max="2319" width="11.83203125" style="72" customWidth="1"/>
    <col min="2320" max="2320" width="12" style="72" customWidth="1"/>
    <col min="2321" max="2321" width="11.83203125" style="72" customWidth="1"/>
    <col min="2322" max="2322" width="6" style="72" bestFit="1" customWidth="1"/>
    <col min="2323" max="2560" width="9" style="72"/>
    <col min="2561" max="2561" width="9" style="72" customWidth="1"/>
    <col min="2562" max="2562" width="6.6640625" style="72" customWidth="1"/>
    <col min="2563" max="2563" width="7.1640625" style="72" customWidth="1"/>
    <col min="2564" max="2564" width="6.6640625" style="72" customWidth="1"/>
    <col min="2565" max="2565" width="7.6640625" style="72" customWidth="1"/>
    <col min="2566" max="2566" width="7.83203125" style="72" customWidth="1"/>
    <col min="2567" max="2567" width="0.6640625" style="72" customWidth="1"/>
    <col min="2568" max="2568" width="9.1640625" style="72" customWidth="1"/>
    <col min="2569" max="2570" width="9.5" style="72" customWidth="1"/>
    <col min="2571" max="2571" width="9.6640625" style="72" customWidth="1"/>
    <col min="2572" max="2572" width="10.5" style="72" customWidth="1"/>
    <col min="2573" max="2573" width="10.33203125" style="72" customWidth="1"/>
    <col min="2574" max="2574" width="11.6640625" style="72" customWidth="1"/>
    <col min="2575" max="2575" width="11.83203125" style="72" customWidth="1"/>
    <col min="2576" max="2576" width="12" style="72" customWidth="1"/>
    <col min="2577" max="2577" width="11.83203125" style="72" customWidth="1"/>
    <col min="2578" max="2578" width="6" style="72" bestFit="1" customWidth="1"/>
    <col min="2579" max="2816" width="9" style="72"/>
    <col min="2817" max="2817" width="9" style="72" customWidth="1"/>
    <col min="2818" max="2818" width="6.6640625" style="72" customWidth="1"/>
    <col min="2819" max="2819" width="7.1640625" style="72" customWidth="1"/>
    <col min="2820" max="2820" width="6.6640625" style="72" customWidth="1"/>
    <col min="2821" max="2821" width="7.6640625" style="72" customWidth="1"/>
    <col min="2822" max="2822" width="7.83203125" style="72" customWidth="1"/>
    <col min="2823" max="2823" width="0.6640625" style="72" customWidth="1"/>
    <col min="2824" max="2824" width="9.1640625" style="72" customWidth="1"/>
    <col min="2825" max="2826" width="9.5" style="72" customWidth="1"/>
    <col min="2827" max="2827" width="9.6640625" style="72" customWidth="1"/>
    <col min="2828" max="2828" width="10.5" style="72" customWidth="1"/>
    <col min="2829" max="2829" width="10.33203125" style="72" customWidth="1"/>
    <col min="2830" max="2830" width="11.6640625" style="72" customWidth="1"/>
    <col min="2831" max="2831" width="11.83203125" style="72" customWidth="1"/>
    <col min="2832" max="2832" width="12" style="72" customWidth="1"/>
    <col min="2833" max="2833" width="11.83203125" style="72" customWidth="1"/>
    <col min="2834" max="2834" width="6" style="72" bestFit="1" customWidth="1"/>
    <col min="2835" max="3072" width="9" style="72"/>
    <col min="3073" max="3073" width="9" style="72" customWidth="1"/>
    <col min="3074" max="3074" width="6.6640625" style="72" customWidth="1"/>
    <col min="3075" max="3075" width="7.1640625" style="72" customWidth="1"/>
    <col min="3076" max="3076" width="6.6640625" style="72" customWidth="1"/>
    <col min="3077" max="3077" width="7.6640625" style="72" customWidth="1"/>
    <col min="3078" max="3078" width="7.83203125" style="72" customWidth="1"/>
    <col min="3079" max="3079" width="0.6640625" style="72" customWidth="1"/>
    <col min="3080" max="3080" width="9.1640625" style="72" customWidth="1"/>
    <col min="3081" max="3082" width="9.5" style="72" customWidth="1"/>
    <col min="3083" max="3083" width="9.6640625" style="72" customWidth="1"/>
    <col min="3084" max="3084" width="10.5" style="72" customWidth="1"/>
    <col min="3085" max="3085" width="10.33203125" style="72" customWidth="1"/>
    <col min="3086" max="3086" width="11.6640625" style="72" customWidth="1"/>
    <col min="3087" max="3087" width="11.83203125" style="72" customWidth="1"/>
    <col min="3088" max="3088" width="12" style="72" customWidth="1"/>
    <col min="3089" max="3089" width="11.83203125" style="72" customWidth="1"/>
    <col min="3090" max="3090" width="6" style="72" bestFit="1" customWidth="1"/>
    <col min="3091" max="3328" width="9" style="72"/>
    <col min="3329" max="3329" width="9" style="72" customWidth="1"/>
    <col min="3330" max="3330" width="6.6640625" style="72" customWidth="1"/>
    <col min="3331" max="3331" width="7.1640625" style="72" customWidth="1"/>
    <col min="3332" max="3332" width="6.6640625" style="72" customWidth="1"/>
    <col min="3333" max="3333" width="7.6640625" style="72" customWidth="1"/>
    <col min="3334" max="3334" width="7.83203125" style="72" customWidth="1"/>
    <col min="3335" max="3335" width="0.6640625" style="72" customWidth="1"/>
    <col min="3336" max="3336" width="9.1640625" style="72" customWidth="1"/>
    <col min="3337" max="3338" width="9.5" style="72" customWidth="1"/>
    <col min="3339" max="3339" width="9.6640625" style="72" customWidth="1"/>
    <col min="3340" max="3340" width="10.5" style="72" customWidth="1"/>
    <col min="3341" max="3341" width="10.33203125" style="72" customWidth="1"/>
    <col min="3342" max="3342" width="11.6640625" style="72" customWidth="1"/>
    <col min="3343" max="3343" width="11.83203125" style="72" customWidth="1"/>
    <col min="3344" max="3344" width="12" style="72" customWidth="1"/>
    <col min="3345" max="3345" width="11.83203125" style="72" customWidth="1"/>
    <col min="3346" max="3346" width="6" style="72" bestFit="1" customWidth="1"/>
    <col min="3347" max="3584" width="9" style="72"/>
    <col min="3585" max="3585" width="9" style="72" customWidth="1"/>
    <col min="3586" max="3586" width="6.6640625" style="72" customWidth="1"/>
    <col min="3587" max="3587" width="7.1640625" style="72" customWidth="1"/>
    <col min="3588" max="3588" width="6.6640625" style="72" customWidth="1"/>
    <col min="3589" max="3589" width="7.6640625" style="72" customWidth="1"/>
    <col min="3590" max="3590" width="7.83203125" style="72" customWidth="1"/>
    <col min="3591" max="3591" width="0.6640625" style="72" customWidth="1"/>
    <col min="3592" max="3592" width="9.1640625" style="72" customWidth="1"/>
    <col min="3593" max="3594" width="9.5" style="72" customWidth="1"/>
    <col min="3595" max="3595" width="9.6640625" style="72" customWidth="1"/>
    <col min="3596" max="3596" width="10.5" style="72" customWidth="1"/>
    <col min="3597" max="3597" width="10.33203125" style="72" customWidth="1"/>
    <col min="3598" max="3598" width="11.6640625" style="72" customWidth="1"/>
    <col min="3599" max="3599" width="11.83203125" style="72" customWidth="1"/>
    <col min="3600" max="3600" width="12" style="72" customWidth="1"/>
    <col min="3601" max="3601" width="11.83203125" style="72" customWidth="1"/>
    <col min="3602" max="3602" width="6" style="72" bestFit="1" customWidth="1"/>
    <col min="3603" max="3840" width="9" style="72"/>
    <col min="3841" max="3841" width="9" style="72" customWidth="1"/>
    <col min="3842" max="3842" width="6.6640625" style="72" customWidth="1"/>
    <col min="3843" max="3843" width="7.1640625" style="72" customWidth="1"/>
    <col min="3844" max="3844" width="6.6640625" style="72" customWidth="1"/>
    <col min="3845" max="3845" width="7.6640625" style="72" customWidth="1"/>
    <col min="3846" max="3846" width="7.83203125" style="72" customWidth="1"/>
    <col min="3847" max="3847" width="0.6640625" style="72" customWidth="1"/>
    <col min="3848" max="3848" width="9.1640625" style="72" customWidth="1"/>
    <col min="3849" max="3850" width="9.5" style="72" customWidth="1"/>
    <col min="3851" max="3851" width="9.6640625" style="72" customWidth="1"/>
    <col min="3852" max="3852" width="10.5" style="72" customWidth="1"/>
    <col min="3853" max="3853" width="10.33203125" style="72" customWidth="1"/>
    <col min="3854" max="3854" width="11.6640625" style="72" customWidth="1"/>
    <col min="3855" max="3855" width="11.83203125" style="72" customWidth="1"/>
    <col min="3856" max="3856" width="12" style="72" customWidth="1"/>
    <col min="3857" max="3857" width="11.83203125" style="72" customWidth="1"/>
    <col min="3858" max="3858" width="6" style="72" bestFit="1" customWidth="1"/>
    <col min="3859" max="4096" width="9" style="72"/>
    <col min="4097" max="4097" width="9" style="72" customWidth="1"/>
    <col min="4098" max="4098" width="6.6640625" style="72" customWidth="1"/>
    <col min="4099" max="4099" width="7.1640625" style="72" customWidth="1"/>
    <col min="4100" max="4100" width="6.6640625" style="72" customWidth="1"/>
    <col min="4101" max="4101" width="7.6640625" style="72" customWidth="1"/>
    <col min="4102" max="4102" width="7.83203125" style="72" customWidth="1"/>
    <col min="4103" max="4103" width="0.6640625" style="72" customWidth="1"/>
    <col min="4104" max="4104" width="9.1640625" style="72" customWidth="1"/>
    <col min="4105" max="4106" width="9.5" style="72" customWidth="1"/>
    <col min="4107" max="4107" width="9.6640625" style="72" customWidth="1"/>
    <col min="4108" max="4108" width="10.5" style="72" customWidth="1"/>
    <col min="4109" max="4109" width="10.33203125" style="72" customWidth="1"/>
    <col min="4110" max="4110" width="11.6640625" style="72" customWidth="1"/>
    <col min="4111" max="4111" width="11.83203125" style="72" customWidth="1"/>
    <col min="4112" max="4112" width="12" style="72" customWidth="1"/>
    <col min="4113" max="4113" width="11.83203125" style="72" customWidth="1"/>
    <col min="4114" max="4114" width="6" style="72" bestFit="1" customWidth="1"/>
    <col min="4115" max="4352" width="9" style="72"/>
    <col min="4353" max="4353" width="9" style="72" customWidth="1"/>
    <col min="4354" max="4354" width="6.6640625" style="72" customWidth="1"/>
    <col min="4355" max="4355" width="7.1640625" style="72" customWidth="1"/>
    <col min="4356" max="4356" width="6.6640625" style="72" customWidth="1"/>
    <col min="4357" max="4357" width="7.6640625" style="72" customWidth="1"/>
    <col min="4358" max="4358" width="7.83203125" style="72" customWidth="1"/>
    <col min="4359" max="4359" width="0.6640625" style="72" customWidth="1"/>
    <col min="4360" max="4360" width="9.1640625" style="72" customWidth="1"/>
    <col min="4361" max="4362" width="9.5" style="72" customWidth="1"/>
    <col min="4363" max="4363" width="9.6640625" style="72" customWidth="1"/>
    <col min="4364" max="4364" width="10.5" style="72" customWidth="1"/>
    <col min="4365" max="4365" width="10.33203125" style="72" customWidth="1"/>
    <col min="4366" max="4366" width="11.6640625" style="72" customWidth="1"/>
    <col min="4367" max="4367" width="11.83203125" style="72" customWidth="1"/>
    <col min="4368" max="4368" width="12" style="72" customWidth="1"/>
    <col min="4369" max="4369" width="11.83203125" style="72" customWidth="1"/>
    <col min="4370" max="4370" width="6" style="72" bestFit="1" customWidth="1"/>
    <col min="4371" max="4608" width="9" style="72"/>
    <col min="4609" max="4609" width="9" style="72" customWidth="1"/>
    <col min="4610" max="4610" width="6.6640625" style="72" customWidth="1"/>
    <col min="4611" max="4611" width="7.1640625" style="72" customWidth="1"/>
    <col min="4612" max="4612" width="6.6640625" style="72" customWidth="1"/>
    <col min="4613" max="4613" width="7.6640625" style="72" customWidth="1"/>
    <col min="4614" max="4614" width="7.83203125" style="72" customWidth="1"/>
    <col min="4615" max="4615" width="0.6640625" style="72" customWidth="1"/>
    <col min="4616" max="4616" width="9.1640625" style="72" customWidth="1"/>
    <col min="4617" max="4618" width="9.5" style="72" customWidth="1"/>
    <col min="4619" max="4619" width="9.6640625" style="72" customWidth="1"/>
    <col min="4620" max="4620" width="10.5" style="72" customWidth="1"/>
    <col min="4621" max="4621" width="10.33203125" style="72" customWidth="1"/>
    <col min="4622" max="4622" width="11.6640625" style="72" customWidth="1"/>
    <col min="4623" max="4623" width="11.83203125" style="72" customWidth="1"/>
    <col min="4624" max="4624" width="12" style="72" customWidth="1"/>
    <col min="4625" max="4625" width="11.83203125" style="72" customWidth="1"/>
    <col min="4626" max="4626" width="6" style="72" bestFit="1" customWidth="1"/>
    <col min="4627" max="4864" width="9" style="72"/>
    <col min="4865" max="4865" width="9" style="72" customWidth="1"/>
    <col min="4866" max="4866" width="6.6640625" style="72" customWidth="1"/>
    <col min="4867" max="4867" width="7.1640625" style="72" customWidth="1"/>
    <col min="4868" max="4868" width="6.6640625" style="72" customWidth="1"/>
    <col min="4869" max="4869" width="7.6640625" style="72" customWidth="1"/>
    <col min="4870" max="4870" width="7.83203125" style="72" customWidth="1"/>
    <col min="4871" max="4871" width="0.6640625" style="72" customWidth="1"/>
    <col min="4872" max="4872" width="9.1640625" style="72" customWidth="1"/>
    <col min="4873" max="4874" width="9.5" style="72" customWidth="1"/>
    <col min="4875" max="4875" width="9.6640625" style="72" customWidth="1"/>
    <col min="4876" max="4876" width="10.5" style="72" customWidth="1"/>
    <col min="4877" max="4877" width="10.33203125" style="72" customWidth="1"/>
    <col min="4878" max="4878" width="11.6640625" style="72" customWidth="1"/>
    <col min="4879" max="4879" width="11.83203125" style="72" customWidth="1"/>
    <col min="4880" max="4880" width="12" style="72" customWidth="1"/>
    <col min="4881" max="4881" width="11.83203125" style="72" customWidth="1"/>
    <col min="4882" max="4882" width="6" style="72" bestFit="1" customWidth="1"/>
    <col min="4883" max="5120" width="9" style="72"/>
    <col min="5121" max="5121" width="9" style="72" customWidth="1"/>
    <col min="5122" max="5122" width="6.6640625" style="72" customWidth="1"/>
    <col min="5123" max="5123" width="7.1640625" style="72" customWidth="1"/>
    <col min="5124" max="5124" width="6.6640625" style="72" customWidth="1"/>
    <col min="5125" max="5125" width="7.6640625" style="72" customWidth="1"/>
    <col min="5126" max="5126" width="7.83203125" style="72" customWidth="1"/>
    <col min="5127" max="5127" width="0.6640625" style="72" customWidth="1"/>
    <col min="5128" max="5128" width="9.1640625" style="72" customWidth="1"/>
    <col min="5129" max="5130" width="9.5" style="72" customWidth="1"/>
    <col min="5131" max="5131" width="9.6640625" style="72" customWidth="1"/>
    <col min="5132" max="5132" width="10.5" style="72" customWidth="1"/>
    <col min="5133" max="5133" width="10.33203125" style="72" customWidth="1"/>
    <col min="5134" max="5134" width="11.6640625" style="72" customWidth="1"/>
    <col min="5135" max="5135" width="11.83203125" style="72" customWidth="1"/>
    <col min="5136" max="5136" width="12" style="72" customWidth="1"/>
    <col min="5137" max="5137" width="11.83203125" style="72" customWidth="1"/>
    <col min="5138" max="5138" width="6" style="72" bestFit="1" customWidth="1"/>
    <col min="5139" max="5376" width="9" style="72"/>
    <col min="5377" max="5377" width="9" style="72" customWidth="1"/>
    <col min="5378" max="5378" width="6.6640625" style="72" customWidth="1"/>
    <col min="5379" max="5379" width="7.1640625" style="72" customWidth="1"/>
    <col min="5380" max="5380" width="6.6640625" style="72" customWidth="1"/>
    <col min="5381" max="5381" width="7.6640625" style="72" customWidth="1"/>
    <col min="5382" max="5382" width="7.83203125" style="72" customWidth="1"/>
    <col min="5383" max="5383" width="0.6640625" style="72" customWidth="1"/>
    <col min="5384" max="5384" width="9.1640625" style="72" customWidth="1"/>
    <col min="5385" max="5386" width="9.5" style="72" customWidth="1"/>
    <col min="5387" max="5387" width="9.6640625" style="72" customWidth="1"/>
    <col min="5388" max="5388" width="10.5" style="72" customWidth="1"/>
    <col min="5389" max="5389" width="10.33203125" style="72" customWidth="1"/>
    <col min="5390" max="5390" width="11.6640625" style="72" customWidth="1"/>
    <col min="5391" max="5391" width="11.83203125" style="72" customWidth="1"/>
    <col min="5392" max="5392" width="12" style="72" customWidth="1"/>
    <col min="5393" max="5393" width="11.83203125" style="72" customWidth="1"/>
    <col min="5394" max="5394" width="6" style="72" bestFit="1" customWidth="1"/>
    <col min="5395" max="5632" width="9" style="72"/>
    <col min="5633" max="5633" width="9" style="72" customWidth="1"/>
    <col min="5634" max="5634" width="6.6640625" style="72" customWidth="1"/>
    <col min="5635" max="5635" width="7.1640625" style="72" customWidth="1"/>
    <col min="5636" max="5636" width="6.6640625" style="72" customWidth="1"/>
    <col min="5637" max="5637" width="7.6640625" style="72" customWidth="1"/>
    <col min="5638" max="5638" width="7.83203125" style="72" customWidth="1"/>
    <col min="5639" max="5639" width="0.6640625" style="72" customWidth="1"/>
    <col min="5640" max="5640" width="9.1640625" style="72" customWidth="1"/>
    <col min="5641" max="5642" width="9.5" style="72" customWidth="1"/>
    <col min="5643" max="5643" width="9.6640625" style="72" customWidth="1"/>
    <col min="5644" max="5644" width="10.5" style="72" customWidth="1"/>
    <col min="5645" max="5645" width="10.33203125" style="72" customWidth="1"/>
    <col min="5646" max="5646" width="11.6640625" style="72" customWidth="1"/>
    <col min="5647" max="5647" width="11.83203125" style="72" customWidth="1"/>
    <col min="5648" max="5648" width="12" style="72" customWidth="1"/>
    <col min="5649" max="5649" width="11.83203125" style="72" customWidth="1"/>
    <col min="5650" max="5650" width="6" style="72" bestFit="1" customWidth="1"/>
    <col min="5651" max="5888" width="9" style="72"/>
    <col min="5889" max="5889" width="9" style="72" customWidth="1"/>
    <col min="5890" max="5890" width="6.6640625" style="72" customWidth="1"/>
    <col min="5891" max="5891" width="7.1640625" style="72" customWidth="1"/>
    <col min="5892" max="5892" width="6.6640625" style="72" customWidth="1"/>
    <col min="5893" max="5893" width="7.6640625" style="72" customWidth="1"/>
    <col min="5894" max="5894" width="7.83203125" style="72" customWidth="1"/>
    <col min="5895" max="5895" width="0.6640625" style="72" customWidth="1"/>
    <col min="5896" max="5896" width="9.1640625" style="72" customWidth="1"/>
    <col min="5897" max="5898" width="9.5" style="72" customWidth="1"/>
    <col min="5899" max="5899" width="9.6640625" style="72" customWidth="1"/>
    <col min="5900" max="5900" width="10.5" style="72" customWidth="1"/>
    <col min="5901" max="5901" width="10.33203125" style="72" customWidth="1"/>
    <col min="5902" max="5902" width="11.6640625" style="72" customWidth="1"/>
    <col min="5903" max="5903" width="11.83203125" style="72" customWidth="1"/>
    <col min="5904" max="5904" width="12" style="72" customWidth="1"/>
    <col min="5905" max="5905" width="11.83203125" style="72" customWidth="1"/>
    <col min="5906" max="5906" width="6" style="72" bestFit="1" customWidth="1"/>
    <col min="5907" max="6144" width="9" style="72"/>
    <col min="6145" max="6145" width="9" style="72" customWidth="1"/>
    <col min="6146" max="6146" width="6.6640625" style="72" customWidth="1"/>
    <col min="6147" max="6147" width="7.1640625" style="72" customWidth="1"/>
    <col min="6148" max="6148" width="6.6640625" style="72" customWidth="1"/>
    <col min="6149" max="6149" width="7.6640625" style="72" customWidth="1"/>
    <col min="6150" max="6150" width="7.83203125" style="72" customWidth="1"/>
    <col min="6151" max="6151" width="0.6640625" style="72" customWidth="1"/>
    <col min="6152" max="6152" width="9.1640625" style="72" customWidth="1"/>
    <col min="6153" max="6154" width="9.5" style="72" customWidth="1"/>
    <col min="6155" max="6155" width="9.6640625" style="72" customWidth="1"/>
    <col min="6156" max="6156" width="10.5" style="72" customWidth="1"/>
    <col min="6157" max="6157" width="10.33203125" style="72" customWidth="1"/>
    <col min="6158" max="6158" width="11.6640625" style="72" customWidth="1"/>
    <col min="6159" max="6159" width="11.83203125" style="72" customWidth="1"/>
    <col min="6160" max="6160" width="12" style="72" customWidth="1"/>
    <col min="6161" max="6161" width="11.83203125" style="72" customWidth="1"/>
    <col min="6162" max="6162" width="6" style="72" bestFit="1" customWidth="1"/>
    <col min="6163" max="6400" width="9" style="72"/>
    <col min="6401" max="6401" width="9" style="72" customWidth="1"/>
    <col min="6402" max="6402" width="6.6640625" style="72" customWidth="1"/>
    <col min="6403" max="6403" width="7.1640625" style="72" customWidth="1"/>
    <col min="6404" max="6404" width="6.6640625" style="72" customWidth="1"/>
    <col min="6405" max="6405" width="7.6640625" style="72" customWidth="1"/>
    <col min="6406" max="6406" width="7.83203125" style="72" customWidth="1"/>
    <col min="6407" max="6407" width="0.6640625" style="72" customWidth="1"/>
    <col min="6408" max="6408" width="9.1640625" style="72" customWidth="1"/>
    <col min="6409" max="6410" width="9.5" style="72" customWidth="1"/>
    <col min="6411" max="6411" width="9.6640625" style="72" customWidth="1"/>
    <col min="6412" max="6412" width="10.5" style="72" customWidth="1"/>
    <col min="6413" max="6413" width="10.33203125" style="72" customWidth="1"/>
    <col min="6414" max="6414" width="11.6640625" style="72" customWidth="1"/>
    <col min="6415" max="6415" width="11.83203125" style="72" customWidth="1"/>
    <col min="6416" max="6416" width="12" style="72" customWidth="1"/>
    <col min="6417" max="6417" width="11.83203125" style="72" customWidth="1"/>
    <col min="6418" max="6418" width="6" style="72" bestFit="1" customWidth="1"/>
    <col min="6419" max="6656" width="9" style="72"/>
    <col min="6657" max="6657" width="9" style="72" customWidth="1"/>
    <col min="6658" max="6658" width="6.6640625" style="72" customWidth="1"/>
    <col min="6659" max="6659" width="7.1640625" style="72" customWidth="1"/>
    <col min="6660" max="6660" width="6.6640625" style="72" customWidth="1"/>
    <col min="6661" max="6661" width="7.6640625" style="72" customWidth="1"/>
    <col min="6662" max="6662" width="7.83203125" style="72" customWidth="1"/>
    <col min="6663" max="6663" width="0.6640625" style="72" customWidth="1"/>
    <col min="6664" max="6664" width="9.1640625" style="72" customWidth="1"/>
    <col min="6665" max="6666" width="9.5" style="72" customWidth="1"/>
    <col min="6667" max="6667" width="9.6640625" style="72" customWidth="1"/>
    <col min="6668" max="6668" width="10.5" style="72" customWidth="1"/>
    <col min="6669" max="6669" width="10.33203125" style="72" customWidth="1"/>
    <col min="6670" max="6670" width="11.6640625" style="72" customWidth="1"/>
    <col min="6671" max="6671" width="11.83203125" style="72" customWidth="1"/>
    <col min="6672" max="6672" width="12" style="72" customWidth="1"/>
    <col min="6673" max="6673" width="11.83203125" style="72" customWidth="1"/>
    <col min="6674" max="6674" width="6" style="72" bestFit="1" customWidth="1"/>
    <col min="6675" max="6912" width="9" style="72"/>
    <col min="6913" max="6913" width="9" style="72" customWidth="1"/>
    <col min="6914" max="6914" width="6.6640625" style="72" customWidth="1"/>
    <col min="6915" max="6915" width="7.1640625" style="72" customWidth="1"/>
    <col min="6916" max="6916" width="6.6640625" style="72" customWidth="1"/>
    <col min="6917" max="6917" width="7.6640625" style="72" customWidth="1"/>
    <col min="6918" max="6918" width="7.83203125" style="72" customWidth="1"/>
    <col min="6919" max="6919" width="0.6640625" style="72" customWidth="1"/>
    <col min="6920" max="6920" width="9.1640625" style="72" customWidth="1"/>
    <col min="6921" max="6922" width="9.5" style="72" customWidth="1"/>
    <col min="6923" max="6923" width="9.6640625" style="72" customWidth="1"/>
    <col min="6924" max="6924" width="10.5" style="72" customWidth="1"/>
    <col min="6925" max="6925" width="10.33203125" style="72" customWidth="1"/>
    <col min="6926" max="6926" width="11.6640625" style="72" customWidth="1"/>
    <col min="6927" max="6927" width="11.83203125" style="72" customWidth="1"/>
    <col min="6928" max="6928" width="12" style="72" customWidth="1"/>
    <col min="6929" max="6929" width="11.83203125" style="72" customWidth="1"/>
    <col min="6930" max="6930" width="6" style="72" bestFit="1" customWidth="1"/>
    <col min="6931" max="7168" width="9" style="72"/>
    <col min="7169" max="7169" width="9" style="72" customWidth="1"/>
    <col min="7170" max="7170" width="6.6640625" style="72" customWidth="1"/>
    <col min="7171" max="7171" width="7.1640625" style="72" customWidth="1"/>
    <col min="7172" max="7172" width="6.6640625" style="72" customWidth="1"/>
    <col min="7173" max="7173" width="7.6640625" style="72" customWidth="1"/>
    <col min="7174" max="7174" width="7.83203125" style="72" customWidth="1"/>
    <col min="7175" max="7175" width="0.6640625" style="72" customWidth="1"/>
    <col min="7176" max="7176" width="9.1640625" style="72" customWidth="1"/>
    <col min="7177" max="7178" width="9.5" style="72" customWidth="1"/>
    <col min="7179" max="7179" width="9.6640625" style="72" customWidth="1"/>
    <col min="7180" max="7180" width="10.5" style="72" customWidth="1"/>
    <col min="7181" max="7181" width="10.33203125" style="72" customWidth="1"/>
    <col min="7182" max="7182" width="11.6640625" style="72" customWidth="1"/>
    <col min="7183" max="7183" width="11.83203125" style="72" customWidth="1"/>
    <col min="7184" max="7184" width="12" style="72" customWidth="1"/>
    <col min="7185" max="7185" width="11.83203125" style="72" customWidth="1"/>
    <col min="7186" max="7186" width="6" style="72" bestFit="1" customWidth="1"/>
    <col min="7187" max="7424" width="9" style="72"/>
    <col min="7425" max="7425" width="9" style="72" customWidth="1"/>
    <col min="7426" max="7426" width="6.6640625" style="72" customWidth="1"/>
    <col min="7427" max="7427" width="7.1640625" style="72" customWidth="1"/>
    <col min="7428" max="7428" width="6.6640625" style="72" customWidth="1"/>
    <col min="7429" max="7429" width="7.6640625" style="72" customWidth="1"/>
    <col min="7430" max="7430" width="7.83203125" style="72" customWidth="1"/>
    <col min="7431" max="7431" width="0.6640625" style="72" customWidth="1"/>
    <col min="7432" max="7432" width="9.1640625" style="72" customWidth="1"/>
    <col min="7433" max="7434" width="9.5" style="72" customWidth="1"/>
    <col min="7435" max="7435" width="9.6640625" style="72" customWidth="1"/>
    <col min="7436" max="7436" width="10.5" style="72" customWidth="1"/>
    <col min="7437" max="7437" width="10.33203125" style="72" customWidth="1"/>
    <col min="7438" max="7438" width="11.6640625" style="72" customWidth="1"/>
    <col min="7439" max="7439" width="11.83203125" style="72" customWidth="1"/>
    <col min="7440" max="7440" width="12" style="72" customWidth="1"/>
    <col min="7441" max="7441" width="11.83203125" style="72" customWidth="1"/>
    <col min="7442" max="7442" width="6" style="72" bestFit="1" customWidth="1"/>
    <col min="7443" max="7680" width="9" style="72"/>
    <col min="7681" max="7681" width="9" style="72" customWidth="1"/>
    <col min="7682" max="7682" width="6.6640625" style="72" customWidth="1"/>
    <col min="7683" max="7683" width="7.1640625" style="72" customWidth="1"/>
    <col min="7684" max="7684" width="6.6640625" style="72" customWidth="1"/>
    <col min="7685" max="7685" width="7.6640625" style="72" customWidth="1"/>
    <col min="7686" max="7686" width="7.83203125" style="72" customWidth="1"/>
    <col min="7687" max="7687" width="0.6640625" style="72" customWidth="1"/>
    <col min="7688" max="7688" width="9.1640625" style="72" customWidth="1"/>
    <col min="7689" max="7690" width="9.5" style="72" customWidth="1"/>
    <col min="7691" max="7691" width="9.6640625" style="72" customWidth="1"/>
    <col min="7692" max="7692" width="10.5" style="72" customWidth="1"/>
    <col min="7693" max="7693" width="10.33203125" style="72" customWidth="1"/>
    <col min="7694" max="7694" width="11.6640625" style="72" customWidth="1"/>
    <col min="7695" max="7695" width="11.83203125" style="72" customWidth="1"/>
    <col min="7696" max="7696" width="12" style="72" customWidth="1"/>
    <col min="7697" max="7697" width="11.83203125" style="72" customWidth="1"/>
    <col min="7698" max="7698" width="6" style="72" bestFit="1" customWidth="1"/>
    <col min="7699" max="7936" width="9" style="72"/>
    <col min="7937" max="7937" width="9" style="72" customWidth="1"/>
    <col min="7938" max="7938" width="6.6640625" style="72" customWidth="1"/>
    <col min="7939" max="7939" width="7.1640625" style="72" customWidth="1"/>
    <col min="7940" max="7940" width="6.6640625" style="72" customWidth="1"/>
    <col min="7941" max="7941" width="7.6640625" style="72" customWidth="1"/>
    <col min="7942" max="7942" width="7.83203125" style="72" customWidth="1"/>
    <col min="7943" max="7943" width="0.6640625" style="72" customWidth="1"/>
    <col min="7944" max="7944" width="9.1640625" style="72" customWidth="1"/>
    <col min="7945" max="7946" width="9.5" style="72" customWidth="1"/>
    <col min="7947" max="7947" width="9.6640625" style="72" customWidth="1"/>
    <col min="7948" max="7948" width="10.5" style="72" customWidth="1"/>
    <col min="7949" max="7949" width="10.33203125" style="72" customWidth="1"/>
    <col min="7950" max="7950" width="11.6640625" style="72" customWidth="1"/>
    <col min="7951" max="7951" width="11.83203125" style="72" customWidth="1"/>
    <col min="7952" max="7952" width="12" style="72" customWidth="1"/>
    <col min="7953" max="7953" width="11.83203125" style="72" customWidth="1"/>
    <col min="7954" max="7954" width="6" style="72" bestFit="1" customWidth="1"/>
    <col min="7955" max="8192" width="9" style="72"/>
    <col min="8193" max="8193" width="9" style="72" customWidth="1"/>
    <col min="8194" max="8194" width="6.6640625" style="72" customWidth="1"/>
    <col min="8195" max="8195" width="7.1640625" style="72" customWidth="1"/>
    <col min="8196" max="8196" width="6.6640625" style="72" customWidth="1"/>
    <col min="8197" max="8197" width="7.6640625" style="72" customWidth="1"/>
    <col min="8198" max="8198" width="7.83203125" style="72" customWidth="1"/>
    <col min="8199" max="8199" width="0.6640625" style="72" customWidth="1"/>
    <col min="8200" max="8200" width="9.1640625" style="72" customWidth="1"/>
    <col min="8201" max="8202" width="9.5" style="72" customWidth="1"/>
    <col min="8203" max="8203" width="9.6640625" style="72" customWidth="1"/>
    <col min="8204" max="8204" width="10.5" style="72" customWidth="1"/>
    <col min="8205" max="8205" width="10.33203125" style="72" customWidth="1"/>
    <col min="8206" max="8206" width="11.6640625" style="72" customWidth="1"/>
    <col min="8207" max="8207" width="11.83203125" style="72" customWidth="1"/>
    <col min="8208" max="8208" width="12" style="72" customWidth="1"/>
    <col min="8209" max="8209" width="11.83203125" style="72" customWidth="1"/>
    <col min="8210" max="8210" width="6" style="72" bestFit="1" customWidth="1"/>
    <col min="8211" max="8448" width="9" style="72"/>
    <col min="8449" max="8449" width="9" style="72" customWidth="1"/>
    <col min="8450" max="8450" width="6.6640625" style="72" customWidth="1"/>
    <col min="8451" max="8451" width="7.1640625" style="72" customWidth="1"/>
    <col min="8452" max="8452" width="6.6640625" style="72" customWidth="1"/>
    <col min="8453" max="8453" width="7.6640625" style="72" customWidth="1"/>
    <col min="8454" max="8454" width="7.83203125" style="72" customWidth="1"/>
    <col min="8455" max="8455" width="0.6640625" style="72" customWidth="1"/>
    <col min="8456" max="8456" width="9.1640625" style="72" customWidth="1"/>
    <col min="8457" max="8458" width="9.5" style="72" customWidth="1"/>
    <col min="8459" max="8459" width="9.6640625" style="72" customWidth="1"/>
    <col min="8460" max="8460" width="10.5" style="72" customWidth="1"/>
    <col min="8461" max="8461" width="10.33203125" style="72" customWidth="1"/>
    <col min="8462" max="8462" width="11.6640625" style="72" customWidth="1"/>
    <col min="8463" max="8463" width="11.83203125" style="72" customWidth="1"/>
    <col min="8464" max="8464" width="12" style="72" customWidth="1"/>
    <col min="8465" max="8465" width="11.83203125" style="72" customWidth="1"/>
    <col min="8466" max="8466" width="6" style="72" bestFit="1" customWidth="1"/>
    <col min="8467" max="8704" width="9" style="72"/>
    <col min="8705" max="8705" width="9" style="72" customWidth="1"/>
    <col min="8706" max="8706" width="6.6640625" style="72" customWidth="1"/>
    <col min="8707" max="8707" width="7.1640625" style="72" customWidth="1"/>
    <col min="8708" max="8708" width="6.6640625" style="72" customWidth="1"/>
    <col min="8709" max="8709" width="7.6640625" style="72" customWidth="1"/>
    <col min="8710" max="8710" width="7.83203125" style="72" customWidth="1"/>
    <col min="8711" max="8711" width="0.6640625" style="72" customWidth="1"/>
    <col min="8712" max="8712" width="9.1640625" style="72" customWidth="1"/>
    <col min="8713" max="8714" width="9.5" style="72" customWidth="1"/>
    <col min="8715" max="8715" width="9.6640625" style="72" customWidth="1"/>
    <col min="8716" max="8716" width="10.5" style="72" customWidth="1"/>
    <col min="8717" max="8717" width="10.33203125" style="72" customWidth="1"/>
    <col min="8718" max="8718" width="11.6640625" style="72" customWidth="1"/>
    <col min="8719" max="8719" width="11.83203125" style="72" customWidth="1"/>
    <col min="8720" max="8720" width="12" style="72" customWidth="1"/>
    <col min="8721" max="8721" width="11.83203125" style="72" customWidth="1"/>
    <col min="8722" max="8722" width="6" style="72" bestFit="1" customWidth="1"/>
    <col min="8723" max="8960" width="9" style="72"/>
    <col min="8961" max="8961" width="9" style="72" customWidth="1"/>
    <col min="8962" max="8962" width="6.6640625" style="72" customWidth="1"/>
    <col min="8963" max="8963" width="7.1640625" style="72" customWidth="1"/>
    <col min="8964" max="8964" width="6.6640625" style="72" customWidth="1"/>
    <col min="8965" max="8965" width="7.6640625" style="72" customWidth="1"/>
    <col min="8966" max="8966" width="7.83203125" style="72" customWidth="1"/>
    <col min="8967" max="8967" width="0.6640625" style="72" customWidth="1"/>
    <col min="8968" max="8968" width="9.1640625" style="72" customWidth="1"/>
    <col min="8969" max="8970" width="9.5" style="72" customWidth="1"/>
    <col min="8971" max="8971" width="9.6640625" style="72" customWidth="1"/>
    <col min="8972" max="8972" width="10.5" style="72" customWidth="1"/>
    <col min="8973" max="8973" width="10.33203125" style="72" customWidth="1"/>
    <col min="8974" max="8974" width="11.6640625" style="72" customWidth="1"/>
    <col min="8975" max="8975" width="11.83203125" style="72" customWidth="1"/>
    <col min="8976" max="8976" width="12" style="72" customWidth="1"/>
    <col min="8977" max="8977" width="11.83203125" style="72" customWidth="1"/>
    <col min="8978" max="8978" width="6" style="72" bestFit="1" customWidth="1"/>
    <col min="8979" max="9216" width="9" style="72"/>
    <col min="9217" max="9217" width="9" style="72" customWidth="1"/>
    <col min="9218" max="9218" width="6.6640625" style="72" customWidth="1"/>
    <col min="9219" max="9219" width="7.1640625" style="72" customWidth="1"/>
    <col min="9220" max="9220" width="6.6640625" style="72" customWidth="1"/>
    <col min="9221" max="9221" width="7.6640625" style="72" customWidth="1"/>
    <col min="9222" max="9222" width="7.83203125" style="72" customWidth="1"/>
    <col min="9223" max="9223" width="0.6640625" style="72" customWidth="1"/>
    <col min="9224" max="9224" width="9.1640625" style="72" customWidth="1"/>
    <col min="9225" max="9226" width="9.5" style="72" customWidth="1"/>
    <col min="9227" max="9227" width="9.6640625" style="72" customWidth="1"/>
    <col min="9228" max="9228" width="10.5" style="72" customWidth="1"/>
    <col min="9229" max="9229" width="10.33203125" style="72" customWidth="1"/>
    <col min="9230" max="9230" width="11.6640625" style="72" customWidth="1"/>
    <col min="9231" max="9231" width="11.83203125" style="72" customWidth="1"/>
    <col min="9232" max="9232" width="12" style="72" customWidth="1"/>
    <col min="9233" max="9233" width="11.83203125" style="72" customWidth="1"/>
    <col min="9234" max="9234" width="6" style="72" bestFit="1" customWidth="1"/>
    <col min="9235" max="9472" width="9" style="72"/>
    <col min="9473" max="9473" width="9" style="72" customWidth="1"/>
    <col min="9474" max="9474" width="6.6640625" style="72" customWidth="1"/>
    <col min="9475" max="9475" width="7.1640625" style="72" customWidth="1"/>
    <col min="9476" max="9476" width="6.6640625" style="72" customWidth="1"/>
    <col min="9477" max="9477" width="7.6640625" style="72" customWidth="1"/>
    <col min="9478" max="9478" width="7.83203125" style="72" customWidth="1"/>
    <col min="9479" max="9479" width="0.6640625" style="72" customWidth="1"/>
    <col min="9480" max="9480" width="9.1640625" style="72" customWidth="1"/>
    <col min="9481" max="9482" width="9.5" style="72" customWidth="1"/>
    <col min="9483" max="9483" width="9.6640625" style="72" customWidth="1"/>
    <col min="9484" max="9484" width="10.5" style="72" customWidth="1"/>
    <col min="9485" max="9485" width="10.33203125" style="72" customWidth="1"/>
    <col min="9486" max="9486" width="11.6640625" style="72" customWidth="1"/>
    <col min="9487" max="9487" width="11.83203125" style="72" customWidth="1"/>
    <col min="9488" max="9488" width="12" style="72" customWidth="1"/>
    <col min="9489" max="9489" width="11.83203125" style="72" customWidth="1"/>
    <col min="9490" max="9490" width="6" style="72" bestFit="1" customWidth="1"/>
    <col min="9491" max="9728" width="9" style="72"/>
    <col min="9729" max="9729" width="9" style="72" customWidth="1"/>
    <col min="9730" max="9730" width="6.6640625" style="72" customWidth="1"/>
    <col min="9731" max="9731" width="7.1640625" style="72" customWidth="1"/>
    <col min="9732" max="9732" width="6.6640625" style="72" customWidth="1"/>
    <col min="9733" max="9733" width="7.6640625" style="72" customWidth="1"/>
    <col min="9734" max="9734" width="7.83203125" style="72" customWidth="1"/>
    <col min="9735" max="9735" width="0.6640625" style="72" customWidth="1"/>
    <col min="9736" max="9736" width="9.1640625" style="72" customWidth="1"/>
    <col min="9737" max="9738" width="9.5" style="72" customWidth="1"/>
    <col min="9739" max="9739" width="9.6640625" style="72" customWidth="1"/>
    <col min="9740" max="9740" width="10.5" style="72" customWidth="1"/>
    <col min="9741" max="9741" width="10.33203125" style="72" customWidth="1"/>
    <col min="9742" max="9742" width="11.6640625" style="72" customWidth="1"/>
    <col min="9743" max="9743" width="11.83203125" style="72" customWidth="1"/>
    <col min="9744" max="9744" width="12" style="72" customWidth="1"/>
    <col min="9745" max="9745" width="11.83203125" style="72" customWidth="1"/>
    <col min="9746" max="9746" width="6" style="72" bestFit="1" customWidth="1"/>
    <col min="9747" max="9984" width="9" style="72"/>
    <col min="9985" max="9985" width="9" style="72" customWidth="1"/>
    <col min="9986" max="9986" width="6.6640625" style="72" customWidth="1"/>
    <col min="9987" max="9987" width="7.1640625" style="72" customWidth="1"/>
    <col min="9988" max="9988" width="6.6640625" style="72" customWidth="1"/>
    <col min="9989" max="9989" width="7.6640625" style="72" customWidth="1"/>
    <col min="9990" max="9990" width="7.83203125" style="72" customWidth="1"/>
    <col min="9991" max="9991" width="0.6640625" style="72" customWidth="1"/>
    <col min="9992" max="9992" width="9.1640625" style="72" customWidth="1"/>
    <col min="9993" max="9994" width="9.5" style="72" customWidth="1"/>
    <col min="9995" max="9995" width="9.6640625" style="72" customWidth="1"/>
    <col min="9996" max="9996" width="10.5" style="72" customWidth="1"/>
    <col min="9997" max="9997" width="10.33203125" style="72" customWidth="1"/>
    <col min="9998" max="9998" width="11.6640625" style="72" customWidth="1"/>
    <col min="9999" max="9999" width="11.83203125" style="72" customWidth="1"/>
    <col min="10000" max="10000" width="12" style="72" customWidth="1"/>
    <col min="10001" max="10001" width="11.83203125" style="72" customWidth="1"/>
    <col min="10002" max="10002" width="6" style="72" bestFit="1" customWidth="1"/>
    <col min="10003" max="10240" width="9" style="72"/>
    <col min="10241" max="10241" width="9" style="72" customWidth="1"/>
    <col min="10242" max="10242" width="6.6640625" style="72" customWidth="1"/>
    <col min="10243" max="10243" width="7.1640625" style="72" customWidth="1"/>
    <col min="10244" max="10244" width="6.6640625" style="72" customWidth="1"/>
    <col min="10245" max="10245" width="7.6640625" style="72" customWidth="1"/>
    <col min="10246" max="10246" width="7.83203125" style="72" customWidth="1"/>
    <col min="10247" max="10247" width="0.6640625" style="72" customWidth="1"/>
    <col min="10248" max="10248" width="9.1640625" style="72" customWidth="1"/>
    <col min="10249" max="10250" width="9.5" style="72" customWidth="1"/>
    <col min="10251" max="10251" width="9.6640625" style="72" customWidth="1"/>
    <col min="10252" max="10252" width="10.5" style="72" customWidth="1"/>
    <col min="10253" max="10253" width="10.33203125" style="72" customWidth="1"/>
    <col min="10254" max="10254" width="11.6640625" style="72" customWidth="1"/>
    <col min="10255" max="10255" width="11.83203125" style="72" customWidth="1"/>
    <col min="10256" max="10256" width="12" style="72" customWidth="1"/>
    <col min="10257" max="10257" width="11.83203125" style="72" customWidth="1"/>
    <col min="10258" max="10258" width="6" style="72" bestFit="1" customWidth="1"/>
    <col min="10259" max="10496" width="9" style="72"/>
    <col min="10497" max="10497" width="9" style="72" customWidth="1"/>
    <col min="10498" max="10498" width="6.6640625" style="72" customWidth="1"/>
    <col min="10499" max="10499" width="7.1640625" style="72" customWidth="1"/>
    <col min="10500" max="10500" width="6.6640625" style="72" customWidth="1"/>
    <col min="10501" max="10501" width="7.6640625" style="72" customWidth="1"/>
    <col min="10502" max="10502" width="7.83203125" style="72" customWidth="1"/>
    <col min="10503" max="10503" width="0.6640625" style="72" customWidth="1"/>
    <col min="10504" max="10504" width="9.1640625" style="72" customWidth="1"/>
    <col min="10505" max="10506" width="9.5" style="72" customWidth="1"/>
    <col min="10507" max="10507" width="9.6640625" style="72" customWidth="1"/>
    <col min="10508" max="10508" width="10.5" style="72" customWidth="1"/>
    <col min="10509" max="10509" width="10.33203125" style="72" customWidth="1"/>
    <col min="10510" max="10510" width="11.6640625" style="72" customWidth="1"/>
    <col min="10511" max="10511" width="11.83203125" style="72" customWidth="1"/>
    <col min="10512" max="10512" width="12" style="72" customWidth="1"/>
    <col min="10513" max="10513" width="11.83203125" style="72" customWidth="1"/>
    <col min="10514" max="10514" width="6" style="72" bestFit="1" customWidth="1"/>
    <col min="10515" max="10752" width="9" style="72"/>
    <col min="10753" max="10753" width="9" style="72" customWidth="1"/>
    <col min="10754" max="10754" width="6.6640625" style="72" customWidth="1"/>
    <col min="10755" max="10755" width="7.1640625" style="72" customWidth="1"/>
    <col min="10756" max="10756" width="6.6640625" style="72" customWidth="1"/>
    <col min="10757" max="10757" width="7.6640625" style="72" customWidth="1"/>
    <col min="10758" max="10758" width="7.83203125" style="72" customWidth="1"/>
    <col min="10759" max="10759" width="0.6640625" style="72" customWidth="1"/>
    <col min="10760" max="10760" width="9.1640625" style="72" customWidth="1"/>
    <col min="10761" max="10762" width="9.5" style="72" customWidth="1"/>
    <col min="10763" max="10763" width="9.6640625" style="72" customWidth="1"/>
    <col min="10764" max="10764" width="10.5" style="72" customWidth="1"/>
    <col min="10765" max="10765" width="10.33203125" style="72" customWidth="1"/>
    <col min="10766" max="10766" width="11.6640625" style="72" customWidth="1"/>
    <col min="10767" max="10767" width="11.83203125" style="72" customWidth="1"/>
    <col min="10768" max="10768" width="12" style="72" customWidth="1"/>
    <col min="10769" max="10769" width="11.83203125" style="72" customWidth="1"/>
    <col min="10770" max="10770" width="6" style="72" bestFit="1" customWidth="1"/>
    <col min="10771" max="11008" width="9" style="72"/>
    <col min="11009" max="11009" width="9" style="72" customWidth="1"/>
    <col min="11010" max="11010" width="6.6640625" style="72" customWidth="1"/>
    <col min="11011" max="11011" width="7.1640625" style="72" customWidth="1"/>
    <col min="11012" max="11012" width="6.6640625" style="72" customWidth="1"/>
    <col min="11013" max="11013" width="7.6640625" style="72" customWidth="1"/>
    <col min="11014" max="11014" width="7.83203125" style="72" customWidth="1"/>
    <col min="11015" max="11015" width="0.6640625" style="72" customWidth="1"/>
    <col min="11016" max="11016" width="9.1640625" style="72" customWidth="1"/>
    <col min="11017" max="11018" width="9.5" style="72" customWidth="1"/>
    <col min="11019" max="11019" width="9.6640625" style="72" customWidth="1"/>
    <col min="11020" max="11020" width="10.5" style="72" customWidth="1"/>
    <col min="11021" max="11021" width="10.33203125" style="72" customWidth="1"/>
    <col min="11022" max="11022" width="11.6640625" style="72" customWidth="1"/>
    <col min="11023" max="11023" width="11.83203125" style="72" customWidth="1"/>
    <col min="11024" max="11024" width="12" style="72" customWidth="1"/>
    <col min="11025" max="11025" width="11.83203125" style="72" customWidth="1"/>
    <col min="11026" max="11026" width="6" style="72" bestFit="1" customWidth="1"/>
    <col min="11027" max="11264" width="9" style="72"/>
    <col min="11265" max="11265" width="9" style="72" customWidth="1"/>
    <col min="11266" max="11266" width="6.6640625" style="72" customWidth="1"/>
    <col min="11267" max="11267" width="7.1640625" style="72" customWidth="1"/>
    <col min="11268" max="11268" width="6.6640625" style="72" customWidth="1"/>
    <col min="11269" max="11269" width="7.6640625" style="72" customWidth="1"/>
    <col min="11270" max="11270" width="7.83203125" style="72" customWidth="1"/>
    <col min="11271" max="11271" width="0.6640625" style="72" customWidth="1"/>
    <col min="11272" max="11272" width="9.1640625" style="72" customWidth="1"/>
    <col min="11273" max="11274" width="9.5" style="72" customWidth="1"/>
    <col min="11275" max="11275" width="9.6640625" style="72" customWidth="1"/>
    <col min="11276" max="11276" width="10.5" style="72" customWidth="1"/>
    <col min="11277" max="11277" width="10.33203125" style="72" customWidth="1"/>
    <col min="11278" max="11278" width="11.6640625" style="72" customWidth="1"/>
    <col min="11279" max="11279" width="11.83203125" style="72" customWidth="1"/>
    <col min="11280" max="11280" width="12" style="72" customWidth="1"/>
    <col min="11281" max="11281" width="11.83203125" style="72" customWidth="1"/>
    <col min="11282" max="11282" width="6" style="72" bestFit="1" customWidth="1"/>
    <col min="11283" max="11520" width="9" style="72"/>
    <col min="11521" max="11521" width="9" style="72" customWidth="1"/>
    <col min="11522" max="11522" width="6.6640625" style="72" customWidth="1"/>
    <col min="11523" max="11523" width="7.1640625" style="72" customWidth="1"/>
    <col min="11524" max="11524" width="6.6640625" style="72" customWidth="1"/>
    <col min="11525" max="11525" width="7.6640625" style="72" customWidth="1"/>
    <col min="11526" max="11526" width="7.83203125" style="72" customWidth="1"/>
    <col min="11527" max="11527" width="0.6640625" style="72" customWidth="1"/>
    <col min="11528" max="11528" width="9.1640625" style="72" customWidth="1"/>
    <col min="11529" max="11530" width="9.5" style="72" customWidth="1"/>
    <col min="11531" max="11531" width="9.6640625" style="72" customWidth="1"/>
    <col min="11532" max="11532" width="10.5" style="72" customWidth="1"/>
    <col min="11533" max="11533" width="10.33203125" style="72" customWidth="1"/>
    <col min="11534" max="11534" width="11.6640625" style="72" customWidth="1"/>
    <col min="11535" max="11535" width="11.83203125" style="72" customWidth="1"/>
    <col min="11536" max="11536" width="12" style="72" customWidth="1"/>
    <col min="11537" max="11537" width="11.83203125" style="72" customWidth="1"/>
    <col min="11538" max="11538" width="6" style="72" bestFit="1" customWidth="1"/>
    <col min="11539" max="11776" width="9" style="72"/>
    <col min="11777" max="11777" width="9" style="72" customWidth="1"/>
    <col min="11778" max="11778" width="6.6640625" style="72" customWidth="1"/>
    <col min="11779" max="11779" width="7.1640625" style="72" customWidth="1"/>
    <col min="11780" max="11780" width="6.6640625" style="72" customWidth="1"/>
    <col min="11781" max="11781" width="7.6640625" style="72" customWidth="1"/>
    <col min="11782" max="11782" width="7.83203125" style="72" customWidth="1"/>
    <col min="11783" max="11783" width="0.6640625" style="72" customWidth="1"/>
    <col min="11784" max="11784" width="9.1640625" style="72" customWidth="1"/>
    <col min="11785" max="11786" width="9.5" style="72" customWidth="1"/>
    <col min="11787" max="11787" width="9.6640625" style="72" customWidth="1"/>
    <col min="11788" max="11788" width="10.5" style="72" customWidth="1"/>
    <col min="11789" max="11789" width="10.33203125" style="72" customWidth="1"/>
    <col min="11790" max="11790" width="11.6640625" style="72" customWidth="1"/>
    <col min="11791" max="11791" width="11.83203125" style="72" customWidth="1"/>
    <col min="11792" max="11792" width="12" style="72" customWidth="1"/>
    <col min="11793" max="11793" width="11.83203125" style="72" customWidth="1"/>
    <col min="11794" max="11794" width="6" style="72" bestFit="1" customWidth="1"/>
    <col min="11795" max="12032" width="9" style="72"/>
    <col min="12033" max="12033" width="9" style="72" customWidth="1"/>
    <col min="12034" max="12034" width="6.6640625" style="72" customWidth="1"/>
    <col min="12035" max="12035" width="7.1640625" style="72" customWidth="1"/>
    <col min="12036" max="12036" width="6.6640625" style="72" customWidth="1"/>
    <col min="12037" max="12037" width="7.6640625" style="72" customWidth="1"/>
    <col min="12038" max="12038" width="7.83203125" style="72" customWidth="1"/>
    <col min="12039" max="12039" width="0.6640625" style="72" customWidth="1"/>
    <col min="12040" max="12040" width="9.1640625" style="72" customWidth="1"/>
    <col min="12041" max="12042" width="9.5" style="72" customWidth="1"/>
    <col min="12043" max="12043" width="9.6640625" style="72" customWidth="1"/>
    <col min="12044" max="12044" width="10.5" style="72" customWidth="1"/>
    <col min="12045" max="12045" width="10.33203125" style="72" customWidth="1"/>
    <col min="12046" max="12046" width="11.6640625" style="72" customWidth="1"/>
    <col min="12047" max="12047" width="11.83203125" style="72" customWidth="1"/>
    <col min="12048" max="12048" width="12" style="72" customWidth="1"/>
    <col min="12049" max="12049" width="11.83203125" style="72" customWidth="1"/>
    <col min="12050" max="12050" width="6" style="72" bestFit="1" customWidth="1"/>
    <col min="12051" max="12288" width="9" style="72"/>
    <col min="12289" max="12289" width="9" style="72" customWidth="1"/>
    <col min="12290" max="12290" width="6.6640625" style="72" customWidth="1"/>
    <col min="12291" max="12291" width="7.1640625" style="72" customWidth="1"/>
    <col min="12292" max="12292" width="6.6640625" style="72" customWidth="1"/>
    <col min="12293" max="12293" width="7.6640625" style="72" customWidth="1"/>
    <col min="12294" max="12294" width="7.83203125" style="72" customWidth="1"/>
    <col min="12295" max="12295" width="0.6640625" style="72" customWidth="1"/>
    <col min="12296" max="12296" width="9.1640625" style="72" customWidth="1"/>
    <col min="12297" max="12298" width="9.5" style="72" customWidth="1"/>
    <col min="12299" max="12299" width="9.6640625" style="72" customWidth="1"/>
    <col min="12300" max="12300" width="10.5" style="72" customWidth="1"/>
    <col min="12301" max="12301" width="10.33203125" style="72" customWidth="1"/>
    <col min="12302" max="12302" width="11.6640625" style="72" customWidth="1"/>
    <col min="12303" max="12303" width="11.83203125" style="72" customWidth="1"/>
    <col min="12304" max="12304" width="12" style="72" customWidth="1"/>
    <col min="12305" max="12305" width="11.83203125" style="72" customWidth="1"/>
    <col min="12306" max="12306" width="6" style="72" bestFit="1" customWidth="1"/>
    <col min="12307" max="12544" width="9" style="72"/>
    <col min="12545" max="12545" width="9" style="72" customWidth="1"/>
    <col min="12546" max="12546" width="6.6640625" style="72" customWidth="1"/>
    <col min="12547" max="12547" width="7.1640625" style="72" customWidth="1"/>
    <col min="12548" max="12548" width="6.6640625" style="72" customWidth="1"/>
    <col min="12549" max="12549" width="7.6640625" style="72" customWidth="1"/>
    <col min="12550" max="12550" width="7.83203125" style="72" customWidth="1"/>
    <col min="12551" max="12551" width="0.6640625" style="72" customWidth="1"/>
    <col min="12552" max="12552" width="9.1640625" style="72" customWidth="1"/>
    <col min="12553" max="12554" width="9.5" style="72" customWidth="1"/>
    <col min="12555" max="12555" width="9.6640625" style="72" customWidth="1"/>
    <col min="12556" max="12556" width="10.5" style="72" customWidth="1"/>
    <col min="12557" max="12557" width="10.33203125" style="72" customWidth="1"/>
    <col min="12558" max="12558" width="11.6640625" style="72" customWidth="1"/>
    <col min="12559" max="12559" width="11.83203125" style="72" customWidth="1"/>
    <col min="12560" max="12560" width="12" style="72" customWidth="1"/>
    <col min="12561" max="12561" width="11.83203125" style="72" customWidth="1"/>
    <col min="12562" max="12562" width="6" style="72" bestFit="1" customWidth="1"/>
    <col min="12563" max="12800" width="9" style="72"/>
    <col min="12801" max="12801" width="9" style="72" customWidth="1"/>
    <col min="12802" max="12802" width="6.6640625" style="72" customWidth="1"/>
    <col min="12803" max="12803" width="7.1640625" style="72" customWidth="1"/>
    <col min="12804" max="12804" width="6.6640625" style="72" customWidth="1"/>
    <col min="12805" max="12805" width="7.6640625" style="72" customWidth="1"/>
    <col min="12806" max="12806" width="7.83203125" style="72" customWidth="1"/>
    <col min="12807" max="12807" width="0.6640625" style="72" customWidth="1"/>
    <col min="12808" max="12808" width="9.1640625" style="72" customWidth="1"/>
    <col min="12809" max="12810" width="9.5" style="72" customWidth="1"/>
    <col min="12811" max="12811" width="9.6640625" style="72" customWidth="1"/>
    <col min="12812" max="12812" width="10.5" style="72" customWidth="1"/>
    <col min="12813" max="12813" width="10.33203125" style="72" customWidth="1"/>
    <col min="12814" max="12814" width="11.6640625" style="72" customWidth="1"/>
    <col min="12815" max="12815" width="11.83203125" style="72" customWidth="1"/>
    <col min="12816" max="12816" width="12" style="72" customWidth="1"/>
    <col min="12817" max="12817" width="11.83203125" style="72" customWidth="1"/>
    <col min="12818" max="12818" width="6" style="72" bestFit="1" customWidth="1"/>
    <col min="12819" max="13056" width="9" style="72"/>
    <col min="13057" max="13057" width="9" style="72" customWidth="1"/>
    <col min="13058" max="13058" width="6.6640625" style="72" customWidth="1"/>
    <col min="13059" max="13059" width="7.1640625" style="72" customWidth="1"/>
    <col min="13060" max="13060" width="6.6640625" style="72" customWidth="1"/>
    <col min="13061" max="13061" width="7.6640625" style="72" customWidth="1"/>
    <col min="13062" max="13062" width="7.83203125" style="72" customWidth="1"/>
    <col min="13063" max="13063" width="0.6640625" style="72" customWidth="1"/>
    <col min="13064" max="13064" width="9.1640625" style="72" customWidth="1"/>
    <col min="13065" max="13066" width="9.5" style="72" customWidth="1"/>
    <col min="13067" max="13067" width="9.6640625" style="72" customWidth="1"/>
    <col min="13068" max="13068" width="10.5" style="72" customWidth="1"/>
    <col min="13069" max="13069" width="10.33203125" style="72" customWidth="1"/>
    <col min="13070" max="13070" width="11.6640625" style="72" customWidth="1"/>
    <col min="13071" max="13071" width="11.83203125" style="72" customWidth="1"/>
    <col min="13072" max="13072" width="12" style="72" customWidth="1"/>
    <col min="13073" max="13073" width="11.83203125" style="72" customWidth="1"/>
    <col min="13074" max="13074" width="6" style="72" bestFit="1" customWidth="1"/>
    <col min="13075" max="13312" width="9" style="72"/>
    <col min="13313" max="13313" width="9" style="72" customWidth="1"/>
    <col min="13314" max="13314" width="6.6640625" style="72" customWidth="1"/>
    <col min="13315" max="13315" width="7.1640625" style="72" customWidth="1"/>
    <col min="13316" max="13316" width="6.6640625" style="72" customWidth="1"/>
    <col min="13317" max="13317" width="7.6640625" style="72" customWidth="1"/>
    <col min="13318" max="13318" width="7.83203125" style="72" customWidth="1"/>
    <col min="13319" max="13319" width="0.6640625" style="72" customWidth="1"/>
    <col min="13320" max="13320" width="9.1640625" style="72" customWidth="1"/>
    <col min="13321" max="13322" width="9.5" style="72" customWidth="1"/>
    <col min="13323" max="13323" width="9.6640625" style="72" customWidth="1"/>
    <col min="13324" max="13324" width="10.5" style="72" customWidth="1"/>
    <col min="13325" max="13325" width="10.33203125" style="72" customWidth="1"/>
    <col min="13326" max="13326" width="11.6640625" style="72" customWidth="1"/>
    <col min="13327" max="13327" width="11.83203125" style="72" customWidth="1"/>
    <col min="13328" max="13328" width="12" style="72" customWidth="1"/>
    <col min="13329" max="13329" width="11.83203125" style="72" customWidth="1"/>
    <col min="13330" max="13330" width="6" style="72" bestFit="1" customWidth="1"/>
    <col min="13331" max="13568" width="9" style="72"/>
    <col min="13569" max="13569" width="9" style="72" customWidth="1"/>
    <col min="13570" max="13570" width="6.6640625" style="72" customWidth="1"/>
    <col min="13571" max="13571" width="7.1640625" style="72" customWidth="1"/>
    <col min="13572" max="13572" width="6.6640625" style="72" customWidth="1"/>
    <col min="13573" max="13573" width="7.6640625" style="72" customWidth="1"/>
    <col min="13574" max="13574" width="7.83203125" style="72" customWidth="1"/>
    <col min="13575" max="13575" width="0.6640625" style="72" customWidth="1"/>
    <col min="13576" max="13576" width="9.1640625" style="72" customWidth="1"/>
    <col min="13577" max="13578" width="9.5" style="72" customWidth="1"/>
    <col min="13579" max="13579" width="9.6640625" style="72" customWidth="1"/>
    <col min="13580" max="13580" width="10.5" style="72" customWidth="1"/>
    <col min="13581" max="13581" width="10.33203125" style="72" customWidth="1"/>
    <col min="13582" max="13582" width="11.6640625" style="72" customWidth="1"/>
    <col min="13583" max="13583" width="11.83203125" style="72" customWidth="1"/>
    <col min="13584" max="13584" width="12" style="72" customWidth="1"/>
    <col min="13585" max="13585" width="11.83203125" style="72" customWidth="1"/>
    <col min="13586" max="13586" width="6" style="72" bestFit="1" customWidth="1"/>
    <col min="13587" max="13824" width="9" style="72"/>
    <col min="13825" max="13825" width="9" style="72" customWidth="1"/>
    <col min="13826" max="13826" width="6.6640625" style="72" customWidth="1"/>
    <col min="13827" max="13827" width="7.1640625" style="72" customWidth="1"/>
    <col min="13828" max="13828" width="6.6640625" style="72" customWidth="1"/>
    <col min="13829" max="13829" width="7.6640625" style="72" customWidth="1"/>
    <col min="13830" max="13830" width="7.83203125" style="72" customWidth="1"/>
    <col min="13831" max="13831" width="0.6640625" style="72" customWidth="1"/>
    <col min="13832" max="13832" width="9.1640625" style="72" customWidth="1"/>
    <col min="13833" max="13834" width="9.5" style="72" customWidth="1"/>
    <col min="13835" max="13835" width="9.6640625" style="72" customWidth="1"/>
    <col min="13836" max="13836" width="10.5" style="72" customWidth="1"/>
    <col min="13837" max="13837" width="10.33203125" style="72" customWidth="1"/>
    <col min="13838" max="13838" width="11.6640625" style="72" customWidth="1"/>
    <col min="13839" max="13839" width="11.83203125" style="72" customWidth="1"/>
    <col min="13840" max="13840" width="12" style="72" customWidth="1"/>
    <col min="13841" max="13841" width="11.83203125" style="72" customWidth="1"/>
    <col min="13842" max="13842" width="6" style="72" bestFit="1" customWidth="1"/>
    <col min="13843" max="14080" width="9" style="72"/>
    <col min="14081" max="14081" width="9" style="72" customWidth="1"/>
    <col min="14082" max="14082" width="6.6640625" style="72" customWidth="1"/>
    <col min="14083" max="14083" width="7.1640625" style="72" customWidth="1"/>
    <col min="14084" max="14084" width="6.6640625" style="72" customWidth="1"/>
    <col min="14085" max="14085" width="7.6640625" style="72" customWidth="1"/>
    <col min="14086" max="14086" width="7.83203125" style="72" customWidth="1"/>
    <col min="14087" max="14087" width="0.6640625" style="72" customWidth="1"/>
    <col min="14088" max="14088" width="9.1640625" style="72" customWidth="1"/>
    <col min="14089" max="14090" width="9.5" style="72" customWidth="1"/>
    <col min="14091" max="14091" width="9.6640625" style="72" customWidth="1"/>
    <col min="14092" max="14092" width="10.5" style="72" customWidth="1"/>
    <col min="14093" max="14093" width="10.33203125" style="72" customWidth="1"/>
    <col min="14094" max="14094" width="11.6640625" style="72" customWidth="1"/>
    <col min="14095" max="14095" width="11.83203125" style="72" customWidth="1"/>
    <col min="14096" max="14096" width="12" style="72" customWidth="1"/>
    <col min="14097" max="14097" width="11.83203125" style="72" customWidth="1"/>
    <col min="14098" max="14098" width="6" style="72" bestFit="1" customWidth="1"/>
    <col min="14099" max="14336" width="9" style="72"/>
    <col min="14337" max="14337" width="9" style="72" customWidth="1"/>
    <col min="14338" max="14338" width="6.6640625" style="72" customWidth="1"/>
    <col min="14339" max="14339" width="7.1640625" style="72" customWidth="1"/>
    <col min="14340" max="14340" width="6.6640625" style="72" customWidth="1"/>
    <col min="14341" max="14341" width="7.6640625" style="72" customWidth="1"/>
    <col min="14342" max="14342" width="7.83203125" style="72" customWidth="1"/>
    <col min="14343" max="14343" width="0.6640625" style="72" customWidth="1"/>
    <col min="14344" max="14344" width="9.1640625" style="72" customWidth="1"/>
    <col min="14345" max="14346" width="9.5" style="72" customWidth="1"/>
    <col min="14347" max="14347" width="9.6640625" style="72" customWidth="1"/>
    <col min="14348" max="14348" width="10.5" style="72" customWidth="1"/>
    <col min="14349" max="14349" width="10.33203125" style="72" customWidth="1"/>
    <col min="14350" max="14350" width="11.6640625" style="72" customWidth="1"/>
    <col min="14351" max="14351" width="11.83203125" style="72" customWidth="1"/>
    <col min="14352" max="14352" width="12" style="72" customWidth="1"/>
    <col min="14353" max="14353" width="11.83203125" style="72" customWidth="1"/>
    <col min="14354" max="14354" width="6" style="72" bestFit="1" customWidth="1"/>
    <col min="14355" max="14592" width="9" style="72"/>
    <col min="14593" max="14593" width="9" style="72" customWidth="1"/>
    <col min="14594" max="14594" width="6.6640625" style="72" customWidth="1"/>
    <col min="14595" max="14595" width="7.1640625" style="72" customWidth="1"/>
    <col min="14596" max="14596" width="6.6640625" style="72" customWidth="1"/>
    <col min="14597" max="14597" width="7.6640625" style="72" customWidth="1"/>
    <col min="14598" max="14598" width="7.83203125" style="72" customWidth="1"/>
    <col min="14599" max="14599" width="0.6640625" style="72" customWidth="1"/>
    <col min="14600" max="14600" width="9.1640625" style="72" customWidth="1"/>
    <col min="14601" max="14602" width="9.5" style="72" customWidth="1"/>
    <col min="14603" max="14603" width="9.6640625" style="72" customWidth="1"/>
    <col min="14604" max="14604" width="10.5" style="72" customWidth="1"/>
    <col min="14605" max="14605" width="10.33203125" style="72" customWidth="1"/>
    <col min="14606" max="14606" width="11.6640625" style="72" customWidth="1"/>
    <col min="14607" max="14607" width="11.83203125" style="72" customWidth="1"/>
    <col min="14608" max="14608" width="12" style="72" customWidth="1"/>
    <col min="14609" max="14609" width="11.83203125" style="72" customWidth="1"/>
    <col min="14610" max="14610" width="6" style="72" bestFit="1" customWidth="1"/>
    <col min="14611" max="14848" width="9" style="72"/>
    <col min="14849" max="14849" width="9" style="72" customWidth="1"/>
    <col min="14850" max="14850" width="6.6640625" style="72" customWidth="1"/>
    <col min="14851" max="14851" width="7.1640625" style="72" customWidth="1"/>
    <col min="14852" max="14852" width="6.6640625" style="72" customWidth="1"/>
    <col min="14853" max="14853" width="7.6640625" style="72" customWidth="1"/>
    <col min="14854" max="14854" width="7.83203125" style="72" customWidth="1"/>
    <col min="14855" max="14855" width="0.6640625" style="72" customWidth="1"/>
    <col min="14856" max="14856" width="9.1640625" style="72" customWidth="1"/>
    <col min="14857" max="14858" width="9.5" style="72" customWidth="1"/>
    <col min="14859" max="14859" width="9.6640625" style="72" customWidth="1"/>
    <col min="14860" max="14860" width="10.5" style="72" customWidth="1"/>
    <col min="14861" max="14861" width="10.33203125" style="72" customWidth="1"/>
    <col min="14862" max="14862" width="11.6640625" style="72" customWidth="1"/>
    <col min="14863" max="14863" width="11.83203125" style="72" customWidth="1"/>
    <col min="14864" max="14864" width="12" style="72" customWidth="1"/>
    <col min="14865" max="14865" width="11.83203125" style="72" customWidth="1"/>
    <col min="14866" max="14866" width="6" style="72" bestFit="1" customWidth="1"/>
    <col min="14867" max="15104" width="9" style="72"/>
    <col min="15105" max="15105" width="9" style="72" customWidth="1"/>
    <col min="15106" max="15106" width="6.6640625" style="72" customWidth="1"/>
    <col min="15107" max="15107" width="7.1640625" style="72" customWidth="1"/>
    <col min="15108" max="15108" width="6.6640625" style="72" customWidth="1"/>
    <col min="15109" max="15109" width="7.6640625" style="72" customWidth="1"/>
    <col min="15110" max="15110" width="7.83203125" style="72" customWidth="1"/>
    <col min="15111" max="15111" width="0.6640625" style="72" customWidth="1"/>
    <col min="15112" max="15112" width="9.1640625" style="72" customWidth="1"/>
    <col min="15113" max="15114" width="9.5" style="72" customWidth="1"/>
    <col min="15115" max="15115" width="9.6640625" style="72" customWidth="1"/>
    <col min="15116" max="15116" width="10.5" style="72" customWidth="1"/>
    <col min="15117" max="15117" width="10.33203125" style="72" customWidth="1"/>
    <col min="15118" max="15118" width="11.6640625" style="72" customWidth="1"/>
    <col min="15119" max="15119" width="11.83203125" style="72" customWidth="1"/>
    <col min="15120" max="15120" width="12" style="72" customWidth="1"/>
    <col min="15121" max="15121" width="11.83203125" style="72" customWidth="1"/>
    <col min="15122" max="15122" width="6" style="72" bestFit="1" customWidth="1"/>
    <col min="15123" max="15360" width="9" style="72"/>
    <col min="15361" max="15361" width="9" style="72" customWidth="1"/>
    <col min="15362" max="15362" width="6.6640625" style="72" customWidth="1"/>
    <col min="15363" max="15363" width="7.1640625" style="72" customWidth="1"/>
    <col min="15364" max="15364" width="6.6640625" style="72" customWidth="1"/>
    <col min="15365" max="15365" width="7.6640625" style="72" customWidth="1"/>
    <col min="15366" max="15366" width="7.83203125" style="72" customWidth="1"/>
    <col min="15367" max="15367" width="0.6640625" style="72" customWidth="1"/>
    <col min="15368" max="15368" width="9.1640625" style="72" customWidth="1"/>
    <col min="15369" max="15370" width="9.5" style="72" customWidth="1"/>
    <col min="15371" max="15371" width="9.6640625" style="72" customWidth="1"/>
    <col min="15372" max="15372" width="10.5" style="72" customWidth="1"/>
    <col min="15373" max="15373" width="10.33203125" style="72" customWidth="1"/>
    <col min="15374" max="15374" width="11.6640625" style="72" customWidth="1"/>
    <col min="15375" max="15375" width="11.83203125" style="72" customWidth="1"/>
    <col min="15376" max="15376" width="12" style="72" customWidth="1"/>
    <col min="15377" max="15377" width="11.83203125" style="72" customWidth="1"/>
    <col min="15378" max="15378" width="6" style="72" bestFit="1" customWidth="1"/>
    <col min="15379" max="15616" width="9" style="72"/>
    <col min="15617" max="15617" width="9" style="72" customWidth="1"/>
    <col min="15618" max="15618" width="6.6640625" style="72" customWidth="1"/>
    <col min="15619" max="15619" width="7.1640625" style="72" customWidth="1"/>
    <col min="15620" max="15620" width="6.6640625" style="72" customWidth="1"/>
    <col min="15621" max="15621" width="7.6640625" style="72" customWidth="1"/>
    <col min="15622" max="15622" width="7.83203125" style="72" customWidth="1"/>
    <col min="15623" max="15623" width="0.6640625" style="72" customWidth="1"/>
    <col min="15624" max="15624" width="9.1640625" style="72" customWidth="1"/>
    <col min="15625" max="15626" width="9.5" style="72" customWidth="1"/>
    <col min="15627" max="15627" width="9.6640625" style="72" customWidth="1"/>
    <col min="15628" max="15628" width="10.5" style="72" customWidth="1"/>
    <col min="15629" max="15629" width="10.33203125" style="72" customWidth="1"/>
    <col min="15630" max="15630" width="11.6640625" style="72" customWidth="1"/>
    <col min="15631" max="15631" width="11.83203125" style="72" customWidth="1"/>
    <col min="15632" max="15632" width="12" style="72" customWidth="1"/>
    <col min="15633" max="15633" width="11.83203125" style="72" customWidth="1"/>
    <col min="15634" max="15634" width="6" style="72" bestFit="1" customWidth="1"/>
    <col min="15635" max="15872" width="9" style="72"/>
    <col min="15873" max="15873" width="9" style="72" customWidth="1"/>
    <col min="15874" max="15874" width="6.6640625" style="72" customWidth="1"/>
    <col min="15875" max="15875" width="7.1640625" style="72" customWidth="1"/>
    <col min="15876" max="15876" width="6.6640625" style="72" customWidth="1"/>
    <col min="15877" max="15877" width="7.6640625" style="72" customWidth="1"/>
    <col min="15878" max="15878" width="7.83203125" style="72" customWidth="1"/>
    <col min="15879" max="15879" width="0.6640625" style="72" customWidth="1"/>
    <col min="15880" max="15880" width="9.1640625" style="72" customWidth="1"/>
    <col min="15881" max="15882" width="9.5" style="72" customWidth="1"/>
    <col min="15883" max="15883" width="9.6640625" style="72" customWidth="1"/>
    <col min="15884" max="15884" width="10.5" style="72" customWidth="1"/>
    <col min="15885" max="15885" width="10.33203125" style="72" customWidth="1"/>
    <col min="15886" max="15886" width="11.6640625" style="72" customWidth="1"/>
    <col min="15887" max="15887" width="11.83203125" style="72" customWidth="1"/>
    <col min="15888" max="15888" width="12" style="72" customWidth="1"/>
    <col min="15889" max="15889" width="11.83203125" style="72" customWidth="1"/>
    <col min="15890" max="15890" width="6" style="72" bestFit="1" customWidth="1"/>
    <col min="15891" max="16128" width="9" style="72"/>
    <col min="16129" max="16129" width="9" style="72" customWidth="1"/>
    <col min="16130" max="16130" width="6.6640625" style="72" customWidth="1"/>
    <col min="16131" max="16131" width="7.1640625" style="72" customWidth="1"/>
    <col min="16132" max="16132" width="6.6640625" style="72" customWidth="1"/>
    <col min="16133" max="16133" width="7.6640625" style="72" customWidth="1"/>
    <col min="16134" max="16134" width="7.83203125" style="72" customWidth="1"/>
    <col min="16135" max="16135" width="0.6640625" style="72" customWidth="1"/>
    <col min="16136" max="16136" width="9.1640625" style="72" customWidth="1"/>
    <col min="16137" max="16138" width="9.5" style="72" customWidth="1"/>
    <col min="16139" max="16139" width="9.6640625" style="72" customWidth="1"/>
    <col min="16140" max="16140" width="10.5" style="72" customWidth="1"/>
    <col min="16141" max="16141" width="10.33203125" style="72" customWidth="1"/>
    <col min="16142" max="16142" width="11.6640625" style="72" customWidth="1"/>
    <col min="16143" max="16143" width="11.83203125" style="72" customWidth="1"/>
    <col min="16144" max="16144" width="12" style="72" customWidth="1"/>
    <col min="16145" max="16145" width="11.83203125" style="72" customWidth="1"/>
    <col min="16146" max="16146" width="6" style="72" bestFit="1" customWidth="1"/>
    <col min="16147" max="16384" width="9" style="72"/>
  </cols>
  <sheetData>
    <row r="1" spans="1:26" s="113" customFormat="1" ht="18" x14ac:dyDescent="0.2"/>
    <row r="2" spans="1:26" s="113" customFormat="1" ht="23" x14ac:dyDescent="0.25">
      <c r="E2" s="114"/>
      <c r="G2" s="114"/>
      <c r="H2" s="245" t="s">
        <v>330</v>
      </c>
      <c r="J2" s="114"/>
      <c r="K2" s="114"/>
      <c r="L2" s="114"/>
    </row>
    <row r="3" spans="1:26" s="113" customFormat="1" ht="23" x14ac:dyDescent="0.25">
      <c r="E3" s="114"/>
      <c r="F3" s="114"/>
      <c r="G3" s="114"/>
      <c r="H3" s="115" t="s">
        <v>329</v>
      </c>
      <c r="I3" s="114"/>
      <c r="J3" s="114"/>
      <c r="K3" s="114"/>
      <c r="L3" s="114"/>
    </row>
    <row r="4" spans="1:26" ht="19.5" customHeight="1" thickBot="1" x14ac:dyDescent="0.2"/>
    <row r="5" spans="1:26" ht="16.5" customHeight="1" thickBot="1" x14ac:dyDescent="0.2">
      <c r="A5" s="607" t="s">
        <v>328</v>
      </c>
      <c r="B5" s="608"/>
      <c r="C5" s="608"/>
      <c r="D5" s="609"/>
      <c r="E5" s="246" t="str">
        <f>IF(E6="","X","")</f>
        <v/>
      </c>
      <c r="F5" s="610" t="s">
        <v>327</v>
      </c>
      <c r="G5" s="611"/>
      <c r="H5" s="611"/>
      <c r="I5" s="611"/>
      <c r="J5" s="611"/>
      <c r="K5" s="611"/>
      <c r="L5" s="611"/>
      <c r="M5" s="611"/>
      <c r="N5" s="611"/>
      <c r="O5" s="611"/>
      <c r="P5" s="612"/>
    </row>
    <row r="6" spans="1:26" ht="16.5" customHeight="1" thickBot="1" x14ac:dyDescent="0.2">
      <c r="A6" s="607" t="s">
        <v>326</v>
      </c>
      <c r="B6" s="608"/>
      <c r="C6" s="608"/>
      <c r="D6" s="609"/>
      <c r="E6" s="98" t="s">
        <v>73</v>
      </c>
      <c r="F6" s="613"/>
      <c r="G6" s="614"/>
      <c r="H6" s="614"/>
      <c r="I6" s="614"/>
      <c r="J6" s="614"/>
      <c r="K6" s="614"/>
      <c r="L6" s="614"/>
      <c r="M6" s="614"/>
      <c r="N6" s="614"/>
      <c r="O6" s="614"/>
      <c r="P6" s="615"/>
      <c r="R6" s="128"/>
      <c r="S6" s="128"/>
      <c r="T6" s="128"/>
      <c r="U6" s="128"/>
      <c r="V6" s="128"/>
      <c r="W6" s="128"/>
      <c r="X6" s="128"/>
      <c r="Y6" s="128"/>
      <c r="Z6" s="128"/>
    </row>
    <row r="7" spans="1:26" ht="14.25" customHeight="1" x14ac:dyDescent="0.15">
      <c r="A7" s="247" t="s">
        <v>325</v>
      </c>
      <c r="B7" s="616">
        <f>Request!B5</f>
        <v>0</v>
      </c>
      <c r="C7" s="616"/>
      <c r="D7" s="616"/>
      <c r="E7" s="616"/>
      <c r="F7" s="590"/>
      <c r="G7" s="617"/>
      <c r="H7" s="248" t="s">
        <v>324</v>
      </c>
      <c r="I7" s="616">
        <f>Request!F5</f>
        <v>0</v>
      </c>
      <c r="J7" s="616"/>
      <c r="K7" s="618"/>
      <c r="L7" s="619" t="s">
        <v>844</v>
      </c>
      <c r="M7" s="620"/>
      <c r="N7" s="621">
        <f>Request!H42</f>
        <v>0</v>
      </c>
      <c r="O7" s="621">
        <f>Request!E42</f>
        <v>0</v>
      </c>
      <c r="P7" s="622">
        <f>Request!F42</f>
        <v>0</v>
      </c>
      <c r="R7" s="128"/>
      <c r="S7" s="128"/>
      <c r="T7" s="128"/>
      <c r="U7" s="128"/>
      <c r="V7" s="128"/>
      <c r="W7" s="128"/>
      <c r="X7" s="128"/>
      <c r="Y7" s="128"/>
      <c r="Z7" s="128"/>
    </row>
    <row r="8" spans="1:26" ht="15" customHeight="1" x14ac:dyDescent="0.15">
      <c r="A8" s="249" t="s">
        <v>322</v>
      </c>
      <c r="B8" s="591">
        <f>Request!B6</f>
        <v>0</v>
      </c>
      <c r="C8" s="591"/>
      <c r="D8" s="591"/>
      <c r="E8" s="591"/>
      <c r="F8" s="591"/>
      <c r="G8" s="591"/>
      <c r="H8" s="591"/>
      <c r="I8" s="591"/>
      <c r="J8" s="592"/>
      <c r="K8" s="250" t="s">
        <v>321</v>
      </c>
      <c r="L8" s="591">
        <f>Request!F6</f>
        <v>0</v>
      </c>
      <c r="M8" s="591"/>
      <c r="N8" s="591"/>
      <c r="O8" s="591"/>
      <c r="P8" s="603"/>
    </row>
    <row r="9" spans="1:26" ht="15" customHeight="1" x14ac:dyDescent="0.15">
      <c r="A9" s="251" t="s">
        <v>320</v>
      </c>
      <c r="B9" s="252" t="str">
        <f>Request!F7</f>
        <v>WV</v>
      </c>
      <c r="C9" s="133" t="s">
        <v>319</v>
      </c>
      <c r="D9" s="604">
        <f>Request!H7</f>
        <v>26003</v>
      </c>
      <c r="E9" s="605">
        <f>Request!I7</f>
        <v>0</v>
      </c>
      <c r="F9" s="588" t="s">
        <v>318</v>
      </c>
      <c r="G9" s="588"/>
      <c r="H9" s="588"/>
      <c r="I9" s="591">
        <f>Request!C9</f>
        <v>0</v>
      </c>
      <c r="J9" s="591"/>
      <c r="K9" s="591"/>
      <c r="L9" s="606" t="s">
        <v>317</v>
      </c>
      <c r="M9" s="588"/>
      <c r="N9" s="242">
        <f>Request!G9</f>
        <v>0</v>
      </c>
      <c r="O9" s="253" t="s">
        <v>76</v>
      </c>
      <c r="P9" s="243">
        <f>Request!I9</f>
        <v>0</v>
      </c>
    </row>
    <row r="10" spans="1:26" ht="15" customHeight="1" x14ac:dyDescent="0.15">
      <c r="A10" s="587" t="s">
        <v>316</v>
      </c>
      <c r="B10" s="588"/>
      <c r="C10" s="589" t="s">
        <v>850</v>
      </c>
      <c r="D10" s="590"/>
      <c r="E10" s="590"/>
      <c r="F10" s="591"/>
      <c r="G10" s="592"/>
      <c r="H10" s="106" t="s">
        <v>315</v>
      </c>
      <c r="I10" s="593" t="s">
        <v>1143</v>
      </c>
      <c r="J10" s="593"/>
      <c r="K10" s="594"/>
      <c r="L10" s="156" t="s">
        <v>314</v>
      </c>
      <c r="M10" s="595" t="s">
        <v>1143</v>
      </c>
      <c r="N10" s="595"/>
      <c r="O10" s="595"/>
      <c r="P10" s="596"/>
    </row>
    <row r="11" spans="1:26" ht="16.5" customHeight="1" thickBot="1" x14ac:dyDescent="0.2">
      <c r="A11" s="597" t="s">
        <v>313</v>
      </c>
      <c r="B11" s="598"/>
      <c r="C11" s="599"/>
      <c r="D11" s="600">
        <f>Request!C24</f>
        <v>0</v>
      </c>
      <c r="E11" s="601">
        <f>Request!E24</f>
        <v>0</v>
      </c>
      <c r="F11" s="601">
        <f>Request!F24</f>
        <v>0</v>
      </c>
      <c r="G11" s="601">
        <f>Request!G24</f>
        <v>0</v>
      </c>
      <c r="H11" s="601">
        <f>Request!H24</f>
        <v>0</v>
      </c>
      <c r="I11" s="601">
        <f>Request!I24</f>
        <v>0</v>
      </c>
      <c r="J11" s="601">
        <f>Request!J24</f>
        <v>0</v>
      </c>
      <c r="K11" s="601">
        <f>Request!K24</f>
        <v>0</v>
      </c>
      <c r="L11" s="601">
        <f>Request!L24</f>
        <v>0</v>
      </c>
      <c r="M11" s="601">
        <f>Request!M24</f>
        <v>0</v>
      </c>
      <c r="N11" s="601">
        <f>Request!N24</f>
        <v>0</v>
      </c>
      <c r="O11" s="601">
        <f>Request!O25</f>
        <v>0</v>
      </c>
      <c r="P11" s="602">
        <f>Request!P25</f>
        <v>0</v>
      </c>
    </row>
    <row r="12" spans="1:26" ht="17.25" customHeight="1" thickBot="1" x14ac:dyDescent="0.2">
      <c r="A12" s="103"/>
      <c r="B12" s="102" t="s">
        <v>312</v>
      </c>
      <c r="C12" s="254"/>
      <c r="D12" s="565"/>
      <c r="E12" s="566"/>
      <c r="F12" s="566"/>
      <c r="G12" s="566"/>
      <c r="H12" s="567"/>
      <c r="I12" s="568" t="s">
        <v>311</v>
      </c>
      <c r="J12" s="569"/>
      <c r="K12" s="569"/>
      <c r="L12" s="569"/>
      <c r="M12" s="569"/>
      <c r="N12" s="569"/>
      <c r="O12" s="569"/>
      <c r="P12" s="570"/>
    </row>
    <row r="13" spans="1:26" ht="17.25" customHeight="1" thickBot="1" x14ac:dyDescent="0.2">
      <c r="A13" s="100"/>
      <c r="B13" s="99" t="s">
        <v>310</v>
      </c>
      <c r="C13" s="246" t="str">
        <f>IF(Request!C27="Mileage","X",IF(Request!C27="Gas Reimbursement","X",""))</f>
        <v/>
      </c>
      <c r="D13" s="574" t="s">
        <v>309</v>
      </c>
      <c r="E13" s="575"/>
      <c r="F13" s="575"/>
      <c r="G13" s="576"/>
      <c r="H13" s="401">
        <v>0.67</v>
      </c>
      <c r="I13" s="571"/>
      <c r="J13" s="572"/>
      <c r="K13" s="572"/>
      <c r="L13" s="572"/>
      <c r="M13" s="572"/>
      <c r="N13" s="572"/>
      <c r="O13" s="572"/>
      <c r="P13" s="573"/>
    </row>
    <row r="14" spans="1:26" ht="18" customHeight="1" thickBot="1" x14ac:dyDescent="0.2">
      <c r="A14" s="577" t="s">
        <v>308</v>
      </c>
      <c r="B14" s="578"/>
      <c r="C14" s="255" t="str">
        <f>IF(Request!B33="X","X","")</f>
        <v/>
      </c>
      <c r="D14" s="97" t="s">
        <v>307</v>
      </c>
      <c r="E14" s="581" t="s">
        <v>306</v>
      </c>
      <c r="F14" s="582"/>
      <c r="G14" s="582"/>
      <c r="H14" s="582"/>
      <c r="I14" s="582"/>
      <c r="J14" s="582"/>
      <c r="K14" s="582"/>
      <c r="L14" s="582"/>
      <c r="M14" s="582"/>
      <c r="N14" s="582"/>
      <c r="O14" s="582"/>
      <c r="P14" s="583"/>
    </row>
    <row r="15" spans="1:26" ht="17.25" customHeight="1" thickBot="1" x14ac:dyDescent="0.2">
      <c r="A15" s="579"/>
      <c r="B15" s="580"/>
      <c r="C15" s="255" t="str">
        <f>IF(C14="","X","")</f>
        <v>X</v>
      </c>
      <c r="D15" s="256" t="s">
        <v>305</v>
      </c>
      <c r="E15" s="584"/>
      <c r="F15" s="585"/>
      <c r="G15" s="585"/>
      <c r="H15" s="585"/>
      <c r="I15" s="585"/>
      <c r="J15" s="585"/>
      <c r="K15" s="585"/>
      <c r="L15" s="585"/>
      <c r="M15" s="585"/>
      <c r="N15" s="585"/>
      <c r="O15" s="585"/>
      <c r="P15" s="586"/>
    </row>
    <row r="16" spans="1:26" s="91" customFormat="1" ht="29.25" customHeight="1" thickBot="1" x14ac:dyDescent="0.2">
      <c r="A16" s="257" t="s">
        <v>289</v>
      </c>
      <c r="B16" s="257" t="s">
        <v>304</v>
      </c>
      <c r="C16" s="258" t="s">
        <v>303</v>
      </c>
      <c r="D16" s="259"/>
      <c r="E16" s="259"/>
      <c r="F16" s="257" t="s">
        <v>302</v>
      </c>
      <c r="G16" s="484" t="s">
        <v>257</v>
      </c>
      <c r="H16" s="485"/>
      <c r="I16" s="260" t="s">
        <v>301</v>
      </c>
      <c r="J16" s="261" t="s">
        <v>300</v>
      </c>
      <c r="K16" s="257" t="s">
        <v>298</v>
      </c>
      <c r="L16" s="258" t="s">
        <v>273</v>
      </c>
      <c r="M16" s="261" t="s">
        <v>299</v>
      </c>
      <c r="N16" s="262" t="s">
        <v>845</v>
      </c>
      <c r="O16" s="263" t="s">
        <v>846</v>
      </c>
      <c r="P16" s="264" t="s">
        <v>297</v>
      </c>
      <c r="R16" s="91" t="s">
        <v>337</v>
      </c>
      <c r="U16" s="91" t="s">
        <v>854</v>
      </c>
      <c r="V16" s="72"/>
      <c r="X16" s="72"/>
    </row>
    <row r="17" spans="1:27" ht="14" x14ac:dyDescent="0.15">
      <c r="A17" s="265">
        <f>VLOOKUP(S17,Expenses!$AE$3:$AH$38,3,0)</f>
        <v>0</v>
      </c>
      <c r="B17" s="266">
        <f>Request!$F$15</f>
        <v>0</v>
      </c>
      <c r="C17" s="535" t="e">
        <f>VLOOKUP($S17,Expenses!$AE$3:$AH$38,4,0)</f>
        <v>#VALUE!</v>
      </c>
      <c r="D17" s="536"/>
      <c r="E17" s="537"/>
      <c r="F17" s="267">
        <f>IFERROR(MROUND(H17/$H$13,0.1),0)</f>
        <v>0</v>
      </c>
      <c r="H17" s="268" t="e">
        <f t="shared" ref="H17:H29" si="0">IF($A17="",0,SUMPRODUCT(($A17=Date)*($C17=City__State)*(Category=F$16)*(Total)))</f>
        <v>#VALUE!</v>
      </c>
      <c r="I17" s="269" t="e">
        <f t="shared" ref="I17:M29" si="1">IF($A17="",0,SUMPRODUCT(($A17=Date)*($C17=City__State)*(Category=I$16)*(Total)))</f>
        <v>#VALUE!</v>
      </c>
      <c r="J17" s="270" t="e">
        <f t="shared" si="1"/>
        <v>#VALUE!</v>
      </c>
      <c r="K17" s="270" t="e">
        <f t="shared" si="1"/>
        <v>#VALUE!</v>
      </c>
      <c r="L17" s="271" t="e">
        <f t="shared" si="1"/>
        <v>#VALUE!</v>
      </c>
      <c r="M17" s="271" t="e">
        <f t="shared" si="1"/>
        <v>#VALUE!</v>
      </c>
      <c r="N17" s="272" t="e">
        <f t="shared" ref="N17" si="2">IF($A17="",0,SUMPRODUCT(($A17=Date)*($C17=City__State)*(Category=N$16)*(GSA_Per_Diem)))</f>
        <v>#VALUE!</v>
      </c>
      <c r="O17" s="270" t="e">
        <f>IF(M17&gt;N17,M17-N17,0)</f>
        <v>#VALUE!</v>
      </c>
      <c r="P17" s="272" t="e">
        <f>SUM(H17:M17)</f>
        <v>#VALUE!</v>
      </c>
      <c r="R17" s="72">
        <v>1</v>
      </c>
      <c r="S17" s="222">
        <f>IFERROR(SMALL(Expenses!$AE$3:$AE$38,R17),"")</f>
        <v>10</v>
      </c>
      <c r="U17" s="273" t="s">
        <v>14</v>
      </c>
      <c r="V17" s="273">
        <v>13</v>
      </c>
      <c r="W17" s="89"/>
      <c r="X17" s="89"/>
    </row>
    <row r="18" spans="1:27" x14ac:dyDescent="0.15">
      <c r="A18" s="265">
        <f>VLOOKUP(S18,Expenses!$AE$3:$AH$38,3,0)</f>
        <v>0</v>
      </c>
      <c r="B18" s="266">
        <f>IF(AND($A18&lt;&gt;"",$A19=""),Request!$F$16,"")</f>
        <v>0</v>
      </c>
      <c r="C18" s="528" t="e">
        <f>VLOOKUP($S18,Expenses!$AE$3:$AH$38,4,0)</f>
        <v>#VALUE!</v>
      </c>
      <c r="D18" s="529"/>
      <c r="E18" s="530"/>
      <c r="F18" s="267">
        <f t="shared" ref="F18:F29" si="3">IFERROR(MROUND(H18/$H$13,0.1),0)</f>
        <v>0</v>
      </c>
      <c r="H18" s="274" t="e">
        <f t="shared" si="0"/>
        <v>#VALUE!</v>
      </c>
      <c r="I18" s="269" t="e">
        <f t="shared" si="1"/>
        <v>#VALUE!</v>
      </c>
      <c r="J18" s="270" t="e">
        <f t="shared" si="1"/>
        <v>#VALUE!</v>
      </c>
      <c r="K18" s="270" t="e">
        <f t="shared" si="1"/>
        <v>#VALUE!</v>
      </c>
      <c r="L18" s="275" t="e">
        <f t="shared" si="1"/>
        <v>#VALUE!</v>
      </c>
      <c r="M18" s="275" t="e">
        <f t="shared" si="1"/>
        <v>#VALUE!</v>
      </c>
      <c r="N18" s="276" t="e">
        <f t="shared" ref="N18:N29" si="4">IF($A18="",0,SUMPRODUCT(($A18=Date)*($C18=City__State)*(GSA_Per_Diem)))</f>
        <v>#VALUE!</v>
      </c>
      <c r="O18" s="270" t="e">
        <f t="shared" ref="O18:O29" si="5">IF(M18&gt;N18,M18-N18,0)</f>
        <v>#VALUE!</v>
      </c>
      <c r="P18" s="277" t="e">
        <f t="shared" ref="P18:P29" si="6">SUM(H18:M18)</f>
        <v>#VALUE!</v>
      </c>
      <c r="R18" s="72">
        <v>2</v>
      </c>
      <c r="S18" s="222">
        <f>IFERROR(SMALL(Expenses!$AE$3:$AE$38,R18),"")</f>
        <v>11</v>
      </c>
      <c r="U18" s="72" t="s">
        <v>15</v>
      </c>
      <c r="V18" s="72">
        <v>15</v>
      </c>
    </row>
    <row r="19" spans="1:27" x14ac:dyDescent="0.15">
      <c r="A19" s="265" t="str">
        <f>VLOOKUP(S19,Expenses!$AE$3:$AH$38,3,0)</f>
        <v/>
      </c>
      <c r="B19" s="266" t="str">
        <f>IF(AND($A19&lt;&gt;"",$A20=""),Request!$F$16,"")</f>
        <v/>
      </c>
      <c r="C19" s="528" t="str">
        <f>VLOOKUP($S19,Expenses!$AE$3:$AH$38,4,0)</f>
        <v/>
      </c>
      <c r="D19" s="529"/>
      <c r="E19" s="530"/>
      <c r="F19" s="267">
        <f t="shared" si="3"/>
        <v>0</v>
      </c>
      <c r="H19" s="274">
        <f t="shared" si="0"/>
        <v>0</v>
      </c>
      <c r="I19" s="269">
        <f t="shared" si="1"/>
        <v>0</v>
      </c>
      <c r="J19" s="270">
        <f t="shared" si="1"/>
        <v>0</v>
      </c>
      <c r="K19" s="270">
        <f t="shared" si="1"/>
        <v>0</v>
      </c>
      <c r="L19" s="275">
        <f t="shared" si="1"/>
        <v>0</v>
      </c>
      <c r="M19" s="275">
        <f t="shared" si="1"/>
        <v>0</v>
      </c>
      <c r="N19" s="276">
        <f t="shared" si="4"/>
        <v>0</v>
      </c>
      <c r="O19" s="270">
        <f t="shared" si="5"/>
        <v>0</v>
      </c>
      <c r="P19" s="277">
        <f t="shared" si="6"/>
        <v>0</v>
      </c>
      <c r="R19" s="72">
        <v>3</v>
      </c>
      <c r="S19" s="222" t="str">
        <f>IFERROR(SMALL(Expenses!$AE$3:$AE$38,R19),"")</f>
        <v/>
      </c>
      <c r="U19" s="72" t="s">
        <v>16</v>
      </c>
      <c r="V19" s="72">
        <v>23</v>
      </c>
    </row>
    <row r="20" spans="1:27" x14ac:dyDescent="0.15">
      <c r="A20" s="265" t="str">
        <f>VLOOKUP(S20,Expenses!$AE$3:$AH$38,3,0)</f>
        <v/>
      </c>
      <c r="B20" s="266" t="str">
        <f>IF(AND($A20&lt;&gt;"",$A21=""),Request!$F$16,"")</f>
        <v/>
      </c>
      <c r="C20" s="528" t="str">
        <f>VLOOKUP($S20,Expenses!$AE$3:$AH$38,4,0)</f>
        <v/>
      </c>
      <c r="D20" s="529"/>
      <c r="E20" s="530"/>
      <c r="F20" s="267">
        <f t="shared" si="3"/>
        <v>0</v>
      </c>
      <c r="H20" s="274">
        <f t="shared" si="0"/>
        <v>0</v>
      </c>
      <c r="I20" s="269">
        <f t="shared" si="1"/>
        <v>0</v>
      </c>
      <c r="J20" s="270">
        <f t="shared" si="1"/>
        <v>0</v>
      </c>
      <c r="K20" s="270">
        <f t="shared" si="1"/>
        <v>0</v>
      </c>
      <c r="L20" s="275">
        <f t="shared" si="1"/>
        <v>0</v>
      </c>
      <c r="M20" s="275">
        <f t="shared" si="1"/>
        <v>0</v>
      </c>
      <c r="N20" s="276">
        <f t="shared" si="4"/>
        <v>0</v>
      </c>
      <c r="O20" s="270">
        <f t="shared" si="5"/>
        <v>0</v>
      </c>
      <c r="P20" s="277">
        <f t="shared" si="6"/>
        <v>0</v>
      </c>
      <c r="R20" s="72">
        <v>4</v>
      </c>
      <c r="S20" s="222" t="str">
        <f>IFERROR(SMALL(Expenses!$AE$3:$AE$38,R20),"")</f>
        <v/>
      </c>
      <c r="U20" s="72" t="s">
        <v>851</v>
      </c>
      <c r="V20" s="72">
        <v>5</v>
      </c>
    </row>
    <row r="21" spans="1:27" x14ac:dyDescent="0.15">
      <c r="A21" s="265" t="str">
        <f>VLOOKUP(S21,Expenses!$AE$3:$AH$38,3,0)</f>
        <v/>
      </c>
      <c r="B21" s="266" t="str">
        <f>IF(AND($A21&lt;&gt;"",$A22=""),Request!$F$16,"")</f>
        <v/>
      </c>
      <c r="C21" s="528" t="str">
        <f>VLOOKUP($S21,Expenses!$AE$3:$AH$38,4,0)</f>
        <v/>
      </c>
      <c r="D21" s="529"/>
      <c r="E21" s="530"/>
      <c r="F21" s="267">
        <f t="shared" si="3"/>
        <v>0</v>
      </c>
      <c r="H21" s="274">
        <f t="shared" si="0"/>
        <v>0</v>
      </c>
      <c r="I21" s="269">
        <f t="shared" si="1"/>
        <v>0</v>
      </c>
      <c r="J21" s="270">
        <f t="shared" si="1"/>
        <v>0</v>
      </c>
      <c r="K21" s="270">
        <f t="shared" si="1"/>
        <v>0</v>
      </c>
      <c r="L21" s="275">
        <f t="shared" si="1"/>
        <v>0</v>
      </c>
      <c r="M21" s="275">
        <f t="shared" si="1"/>
        <v>0</v>
      </c>
      <c r="N21" s="276">
        <f t="shared" si="4"/>
        <v>0</v>
      </c>
      <c r="O21" s="270">
        <f t="shared" si="5"/>
        <v>0</v>
      </c>
      <c r="P21" s="277">
        <f t="shared" si="6"/>
        <v>0</v>
      </c>
      <c r="R21" s="72">
        <v>5</v>
      </c>
      <c r="S21" s="222" t="str">
        <f>IFERROR(SMALL(Expenses!$AE$3:$AE$38,R21),"")</f>
        <v/>
      </c>
    </row>
    <row r="22" spans="1:27" x14ac:dyDescent="0.15">
      <c r="A22" s="265" t="str">
        <f>VLOOKUP(S22,Expenses!$AE$3:$AH$38,3,0)</f>
        <v/>
      </c>
      <c r="B22" s="266" t="str">
        <f>IF(AND($A22&lt;&gt;"",$A23=""),Request!$F$16,"")</f>
        <v/>
      </c>
      <c r="C22" s="528" t="str">
        <f>VLOOKUP($S22,Expenses!$AE$3:$AH$38,4,0)</f>
        <v/>
      </c>
      <c r="D22" s="529"/>
      <c r="E22" s="530"/>
      <c r="F22" s="267">
        <f t="shared" si="3"/>
        <v>0</v>
      </c>
      <c r="H22" s="274">
        <f t="shared" si="0"/>
        <v>0</v>
      </c>
      <c r="I22" s="269">
        <f t="shared" si="1"/>
        <v>0</v>
      </c>
      <c r="J22" s="270">
        <f t="shared" si="1"/>
        <v>0</v>
      </c>
      <c r="K22" s="270">
        <f t="shared" si="1"/>
        <v>0</v>
      </c>
      <c r="L22" s="275">
        <f t="shared" si="1"/>
        <v>0</v>
      </c>
      <c r="M22" s="275">
        <f t="shared" si="1"/>
        <v>0</v>
      </c>
      <c r="N22" s="276">
        <f t="shared" si="4"/>
        <v>0</v>
      </c>
      <c r="O22" s="270">
        <f t="shared" si="5"/>
        <v>0</v>
      </c>
      <c r="P22" s="277">
        <f t="shared" si="6"/>
        <v>0</v>
      </c>
      <c r="R22" s="72">
        <v>6</v>
      </c>
      <c r="S22" s="222" t="str">
        <f>IFERROR(SMALL(Expenses!$AE$3:$AE$38,R22),"")</f>
        <v/>
      </c>
    </row>
    <row r="23" spans="1:27" x14ac:dyDescent="0.15">
      <c r="A23" s="265" t="str">
        <f>VLOOKUP(S23,Expenses!$AE$3:$AH$38,3,0)</f>
        <v/>
      </c>
      <c r="B23" s="266" t="str">
        <f>IF(AND($A23&lt;&gt;"",$A24=""),Request!$F$16,"")</f>
        <v/>
      </c>
      <c r="C23" s="528" t="str">
        <f>VLOOKUP($S23,Expenses!$AE$3:$AH$38,4,0)</f>
        <v/>
      </c>
      <c r="D23" s="529"/>
      <c r="E23" s="530"/>
      <c r="F23" s="267">
        <f t="shared" si="3"/>
        <v>0</v>
      </c>
      <c r="H23" s="274">
        <f t="shared" si="0"/>
        <v>0</v>
      </c>
      <c r="I23" s="269">
        <f t="shared" si="1"/>
        <v>0</v>
      </c>
      <c r="J23" s="270">
        <f t="shared" si="1"/>
        <v>0</v>
      </c>
      <c r="K23" s="270">
        <f t="shared" si="1"/>
        <v>0</v>
      </c>
      <c r="L23" s="275">
        <f t="shared" si="1"/>
        <v>0</v>
      </c>
      <c r="M23" s="275">
        <f t="shared" si="1"/>
        <v>0</v>
      </c>
      <c r="N23" s="276">
        <f t="shared" si="4"/>
        <v>0</v>
      </c>
      <c r="O23" s="270">
        <f t="shared" si="5"/>
        <v>0</v>
      </c>
      <c r="P23" s="277">
        <f t="shared" si="6"/>
        <v>0</v>
      </c>
      <c r="R23" s="72">
        <v>7</v>
      </c>
      <c r="S23" s="222" t="str">
        <f>IFERROR(SMALL(Expenses!$AE$3:$AE$38,R23),"")</f>
        <v/>
      </c>
    </row>
    <row r="24" spans="1:27" x14ac:dyDescent="0.15">
      <c r="A24" s="265" t="str">
        <f>VLOOKUP(S24,Expenses!$AE$3:$AH$38,3,0)</f>
        <v/>
      </c>
      <c r="B24" s="266" t="str">
        <f>IF(AND($A24&lt;&gt;"",$A25=""),Request!$F$16,"")</f>
        <v/>
      </c>
      <c r="C24" s="528" t="str">
        <f>VLOOKUP($S24,Expenses!$AE$3:$AH$38,4,0)</f>
        <v/>
      </c>
      <c r="D24" s="529"/>
      <c r="E24" s="530"/>
      <c r="F24" s="267">
        <f t="shared" si="3"/>
        <v>0</v>
      </c>
      <c r="H24" s="274">
        <f t="shared" si="0"/>
        <v>0</v>
      </c>
      <c r="I24" s="269">
        <f t="shared" si="1"/>
        <v>0</v>
      </c>
      <c r="J24" s="270">
        <f t="shared" si="1"/>
        <v>0</v>
      </c>
      <c r="K24" s="270">
        <f t="shared" si="1"/>
        <v>0</v>
      </c>
      <c r="L24" s="275">
        <f t="shared" si="1"/>
        <v>0</v>
      </c>
      <c r="M24" s="275">
        <f t="shared" si="1"/>
        <v>0</v>
      </c>
      <c r="N24" s="276">
        <f t="shared" si="4"/>
        <v>0</v>
      </c>
      <c r="O24" s="270">
        <f t="shared" si="5"/>
        <v>0</v>
      </c>
      <c r="P24" s="277">
        <f t="shared" si="6"/>
        <v>0</v>
      </c>
      <c r="R24" s="72">
        <v>8</v>
      </c>
      <c r="S24" s="222" t="str">
        <f>IFERROR(SMALL(Expenses!$AE$3:$AE$38,R24),"")</f>
        <v/>
      </c>
      <c r="U24" s="278"/>
    </row>
    <row r="25" spans="1:27" x14ac:dyDescent="0.15">
      <c r="A25" s="265" t="str">
        <f>VLOOKUP(S25,Expenses!$AE$3:$AH$38,3,0)</f>
        <v/>
      </c>
      <c r="B25" s="266" t="str">
        <f>IF(AND($A25&lt;&gt;"",$A26=""),Request!$F$16,"")</f>
        <v/>
      </c>
      <c r="C25" s="528" t="str">
        <f>VLOOKUP($S25,Expenses!$AE$3:$AH$38,4,0)</f>
        <v/>
      </c>
      <c r="D25" s="529"/>
      <c r="E25" s="530"/>
      <c r="F25" s="267">
        <f t="shared" si="3"/>
        <v>0</v>
      </c>
      <c r="H25" s="274">
        <f t="shared" si="0"/>
        <v>0</v>
      </c>
      <c r="I25" s="269">
        <f t="shared" si="1"/>
        <v>0</v>
      </c>
      <c r="J25" s="270">
        <f t="shared" si="1"/>
        <v>0</v>
      </c>
      <c r="K25" s="270">
        <f t="shared" si="1"/>
        <v>0</v>
      </c>
      <c r="L25" s="275">
        <f t="shared" si="1"/>
        <v>0</v>
      </c>
      <c r="M25" s="275">
        <f t="shared" si="1"/>
        <v>0</v>
      </c>
      <c r="N25" s="276">
        <f t="shared" si="4"/>
        <v>0</v>
      </c>
      <c r="O25" s="270">
        <f t="shared" si="5"/>
        <v>0</v>
      </c>
      <c r="P25" s="277">
        <f t="shared" si="6"/>
        <v>0</v>
      </c>
      <c r="R25" s="72">
        <v>9</v>
      </c>
      <c r="S25" s="222" t="str">
        <f>IFERROR(SMALL(Expenses!$AE$3:$AE$38,R25),"")</f>
        <v/>
      </c>
    </row>
    <row r="26" spans="1:27" x14ac:dyDescent="0.15">
      <c r="A26" s="265" t="str">
        <f>VLOOKUP(S26,Expenses!$AE$3:$AH$38,3,0)</f>
        <v/>
      </c>
      <c r="B26" s="266" t="str">
        <f>IF(AND($A26&lt;&gt;"",$A27=""),Request!$F$16,"")</f>
        <v/>
      </c>
      <c r="C26" s="528" t="str">
        <f>VLOOKUP($S26,Expenses!$AE$3:$AH$38,4,0)</f>
        <v/>
      </c>
      <c r="D26" s="529"/>
      <c r="E26" s="530"/>
      <c r="F26" s="267">
        <f t="shared" si="3"/>
        <v>0</v>
      </c>
      <c r="H26" s="274">
        <f t="shared" si="0"/>
        <v>0</v>
      </c>
      <c r="I26" s="269">
        <f t="shared" si="1"/>
        <v>0</v>
      </c>
      <c r="J26" s="270">
        <f t="shared" si="1"/>
        <v>0</v>
      </c>
      <c r="K26" s="270">
        <f t="shared" si="1"/>
        <v>0</v>
      </c>
      <c r="L26" s="275">
        <f t="shared" si="1"/>
        <v>0</v>
      </c>
      <c r="M26" s="275">
        <f t="shared" si="1"/>
        <v>0</v>
      </c>
      <c r="N26" s="276">
        <f t="shared" si="4"/>
        <v>0</v>
      </c>
      <c r="O26" s="270">
        <f t="shared" si="5"/>
        <v>0</v>
      </c>
      <c r="P26" s="277">
        <f t="shared" si="6"/>
        <v>0</v>
      </c>
      <c r="R26" s="72">
        <v>10</v>
      </c>
      <c r="S26" s="222" t="str">
        <f>IFERROR(SMALL(Expenses!$AE$3:$AE$38,R26),"")</f>
        <v/>
      </c>
    </row>
    <row r="27" spans="1:27" x14ac:dyDescent="0.15">
      <c r="A27" s="265" t="str">
        <f>VLOOKUP(S27,Expenses!$AE$3:$AH$38,3,0)</f>
        <v/>
      </c>
      <c r="B27" s="266" t="str">
        <f>IF(AND($A27&lt;&gt;"",$A28=""),Request!$F$16,"")</f>
        <v/>
      </c>
      <c r="C27" s="528" t="str">
        <f>VLOOKUP($S27,Expenses!$AE$3:$AH$38,4,0)</f>
        <v/>
      </c>
      <c r="D27" s="529"/>
      <c r="E27" s="530"/>
      <c r="F27" s="267">
        <f t="shared" si="3"/>
        <v>0</v>
      </c>
      <c r="H27" s="274">
        <f t="shared" si="0"/>
        <v>0</v>
      </c>
      <c r="I27" s="269">
        <f t="shared" si="1"/>
        <v>0</v>
      </c>
      <c r="J27" s="270">
        <f t="shared" si="1"/>
        <v>0</v>
      </c>
      <c r="K27" s="270">
        <f t="shared" si="1"/>
        <v>0</v>
      </c>
      <c r="L27" s="275">
        <f t="shared" si="1"/>
        <v>0</v>
      </c>
      <c r="M27" s="275">
        <f t="shared" si="1"/>
        <v>0</v>
      </c>
      <c r="N27" s="276">
        <f t="shared" si="4"/>
        <v>0</v>
      </c>
      <c r="O27" s="270">
        <f t="shared" si="5"/>
        <v>0</v>
      </c>
      <c r="P27" s="277">
        <f t="shared" si="6"/>
        <v>0</v>
      </c>
      <c r="R27" s="72">
        <v>11</v>
      </c>
      <c r="S27" s="222" t="str">
        <f>IFERROR(SMALL(Expenses!$AE$3:$AE$38,R27),"")</f>
        <v/>
      </c>
    </row>
    <row r="28" spans="1:27" x14ac:dyDescent="0.15">
      <c r="A28" s="265" t="str">
        <f>VLOOKUP(S28,Expenses!$AE$3:$AH$38,3,0)</f>
        <v/>
      </c>
      <c r="B28" s="266" t="str">
        <f>IF(AND($A28&lt;&gt;"",$A29=""),Request!$F$16,"")</f>
        <v/>
      </c>
      <c r="C28" s="528" t="str">
        <f>VLOOKUP($S28,Expenses!$AE$3:$AH$38,4,0)</f>
        <v/>
      </c>
      <c r="D28" s="529"/>
      <c r="E28" s="530"/>
      <c r="F28" s="267">
        <f t="shared" si="3"/>
        <v>0</v>
      </c>
      <c r="H28" s="274">
        <f t="shared" si="0"/>
        <v>0</v>
      </c>
      <c r="I28" s="269">
        <f t="shared" si="1"/>
        <v>0</v>
      </c>
      <c r="J28" s="270">
        <f t="shared" si="1"/>
        <v>0</v>
      </c>
      <c r="K28" s="270">
        <f t="shared" si="1"/>
        <v>0</v>
      </c>
      <c r="L28" s="275">
        <f t="shared" si="1"/>
        <v>0</v>
      </c>
      <c r="M28" s="275">
        <f t="shared" si="1"/>
        <v>0</v>
      </c>
      <c r="N28" s="276">
        <f t="shared" si="4"/>
        <v>0</v>
      </c>
      <c r="O28" s="270">
        <f t="shared" si="5"/>
        <v>0</v>
      </c>
      <c r="P28" s="277">
        <f t="shared" si="6"/>
        <v>0</v>
      </c>
      <c r="R28" s="72">
        <v>12</v>
      </c>
      <c r="S28" s="222" t="str">
        <f>IFERROR(SMALL(Expenses!$AE$3:$AE$38,R28),"")</f>
        <v/>
      </c>
    </row>
    <row r="29" spans="1:27" ht="14" thickBot="1" x14ac:dyDescent="0.2">
      <c r="A29" s="279" t="str">
        <f>VLOOKUP(S29,Expenses!$AE$3:$AH$38,3,0)</f>
        <v/>
      </c>
      <c r="B29" s="280" t="str">
        <f>IF(AND($A29&lt;&gt;"",$A30=""),Request!$F$16,"")</f>
        <v/>
      </c>
      <c r="C29" s="528" t="str">
        <f>VLOOKUP($S29,Expenses!$AE$3:$AH$38,4,0)</f>
        <v/>
      </c>
      <c r="D29" s="529"/>
      <c r="E29" s="530"/>
      <c r="F29" s="281">
        <f t="shared" si="3"/>
        <v>0</v>
      </c>
      <c r="H29" s="282">
        <f t="shared" si="0"/>
        <v>0</v>
      </c>
      <c r="I29" s="283">
        <f t="shared" si="1"/>
        <v>0</v>
      </c>
      <c r="J29" s="284">
        <f t="shared" si="1"/>
        <v>0</v>
      </c>
      <c r="K29" s="284">
        <f t="shared" si="1"/>
        <v>0</v>
      </c>
      <c r="L29" s="285">
        <f t="shared" si="1"/>
        <v>0</v>
      </c>
      <c r="M29" s="285">
        <f t="shared" si="1"/>
        <v>0</v>
      </c>
      <c r="N29" s="286">
        <f t="shared" si="4"/>
        <v>0</v>
      </c>
      <c r="O29" s="270">
        <f t="shared" si="5"/>
        <v>0</v>
      </c>
      <c r="P29" s="287">
        <f t="shared" si="6"/>
        <v>0</v>
      </c>
      <c r="R29" s="72">
        <v>13</v>
      </c>
      <c r="S29" s="222" t="str">
        <f>IFERROR(SMALL(Expenses!$AE$3:$AE$38,R29),"")</f>
        <v/>
      </c>
    </row>
    <row r="30" spans="1:27" ht="14" thickBot="1" x14ac:dyDescent="0.2">
      <c r="A30" s="555" t="s">
        <v>296</v>
      </c>
      <c r="B30" s="556"/>
      <c r="C30" s="556"/>
      <c r="D30" s="556"/>
      <c r="E30" s="557"/>
      <c r="F30" s="244">
        <f>F95</f>
        <v>0</v>
      </c>
      <c r="G30" s="288"/>
      <c r="H30" s="244">
        <f t="shared" ref="H30:P30" si="7">H95</f>
        <v>0</v>
      </c>
      <c r="I30" s="244">
        <f t="shared" si="7"/>
        <v>0</v>
      </c>
      <c r="J30" s="244">
        <f t="shared" si="7"/>
        <v>0</v>
      </c>
      <c r="K30" s="244">
        <f t="shared" si="7"/>
        <v>0</v>
      </c>
      <c r="L30" s="244">
        <f t="shared" si="7"/>
        <v>0</v>
      </c>
      <c r="M30" s="244">
        <f t="shared" si="7"/>
        <v>0</v>
      </c>
      <c r="N30" s="244">
        <f t="shared" si="7"/>
        <v>0</v>
      </c>
      <c r="O30" s="244">
        <f t="shared" si="7"/>
        <v>0</v>
      </c>
      <c r="P30" s="244">
        <f t="shared" si="7"/>
        <v>0</v>
      </c>
    </row>
    <row r="31" spans="1:27" ht="14" thickBot="1" x14ac:dyDescent="0.2">
      <c r="A31" s="289"/>
      <c r="B31" s="290"/>
      <c r="C31" s="291" t="s">
        <v>295</v>
      </c>
      <c r="D31" s="292"/>
      <c r="E31" s="292"/>
      <c r="F31" s="293">
        <f>ROUND(SUM(F17:F30),0)</f>
        <v>0</v>
      </c>
      <c r="G31" s="294"/>
      <c r="H31" s="295" t="e">
        <f t="shared" ref="H31:M31" si="8">ROUND(SUM(H17:H30),2)</f>
        <v>#VALUE!</v>
      </c>
      <c r="I31" s="293" t="e">
        <f t="shared" si="8"/>
        <v>#VALUE!</v>
      </c>
      <c r="J31" s="293" t="e">
        <f t="shared" si="8"/>
        <v>#VALUE!</v>
      </c>
      <c r="K31" s="296" t="e">
        <f t="shared" si="8"/>
        <v>#VALUE!</v>
      </c>
      <c r="L31" s="296" t="e">
        <f t="shared" si="8"/>
        <v>#VALUE!</v>
      </c>
      <c r="M31" s="296" t="e">
        <f t="shared" si="8"/>
        <v>#VALUE!</v>
      </c>
      <c r="N31" s="293" t="e">
        <f>ROUND(SUM(N17:N30),2)</f>
        <v>#VALUE!</v>
      </c>
      <c r="O31" s="293" t="e">
        <f>ROUND(SUM(O17:O30),2)</f>
        <v>#VALUE!</v>
      </c>
      <c r="P31" s="295" t="e">
        <f>ROUND(SUM(P17:P30),2)</f>
        <v>#VALUE!</v>
      </c>
      <c r="S31" s="531" t="e">
        <f>P31-SUM(Total)</f>
        <v>#VALUE!</v>
      </c>
      <c r="T31" s="532" t="e">
        <f>IF(S31&lt;&gt;0,"Does not balance with expenses tab","Balanced with expenses tab")</f>
        <v>#VALUE!</v>
      </c>
      <c r="U31" s="532"/>
      <c r="V31" s="532"/>
      <c r="W31" s="532"/>
      <c r="X31" s="532"/>
      <c r="Y31" s="532"/>
      <c r="Z31" s="532"/>
      <c r="AA31" s="532"/>
    </row>
    <row r="32" spans="1:27" ht="29" thickBot="1" x14ac:dyDescent="0.2">
      <c r="A32" s="486" t="s">
        <v>294</v>
      </c>
      <c r="B32" s="487"/>
      <c r="C32" s="487"/>
      <c r="D32" s="487"/>
      <c r="E32" s="558" t="s">
        <v>293</v>
      </c>
      <c r="F32" s="558"/>
      <c r="G32" s="558"/>
      <c r="H32" s="558"/>
      <c r="I32" s="558"/>
      <c r="J32" s="558"/>
      <c r="K32" s="558"/>
      <c r="L32" s="558"/>
      <c r="M32" s="559"/>
      <c r="N32" s="297" t="s">
        <v>847</v>
      </c>
      <c r="O32" s="560"/>
      <c r="P32" s="561"/>
      <c r="S32" s="531"/>
      <c r="T32" s="532"/>
      <c r="U32" s="532"/>
      <c r="V32" s="532"/>
      <c r="W32" s="532"/>
      <c r="X32" s="532"/>
      <c r="Y32" s="532"/>
      <c r="Z32" s="532"/>
      <c r="AA32" s="532"/>
    </row>
    <row r="33" spans="1:26" ht="17.25" customHeight="1" thickBot="1" x14ac:dyDescent="0.2">
      <c r="A33" s="562" t="s">
        <v>292</v>
      </c>
      <c r="B33" s="563"/>
      <c r="C33" s="563"/>
      <c r="D33" s="563"/>
      <c r="E33" s="563"/>
      <c r="F33" s="563"/>
      <c r="G33" s="563"/>
      <c r="H33" s="564"/>
      <c r="I33" s="298"/>
      <c r="J33" s="562" t="s">
        <v>291</v>
      </c>
      <c r="K33" s="563"/>
      <c r="L33" s="563"/>
      <c r="M33" s="563"/>
      <c r="N33" s="563"/>
      <c r="O33" s="563"/>
      <c r="P33" s="564"/>
      <c r="S33" s="299"/>
      <c r="T33" s="299"/>
      <c r="U33" s="299"/>
      <c r="V33" s="299"/>
      <c r="W33" s="299"/>
      <c r="X33" s="299"/>
    </row>
    <row r="34" spans="1:26" ht="14.25" customHeight="1" thickBot="1" x14ac:dyDescent="0.2">
      <c r="A34" s="300" t="s">
        <v>289</v>
      </c>
      <c r="B34" s="484" t="s">
        <v>290</v>
      </c>
      <c r="C34" s="500"/>
      <c r="D34" s="500"/>
      <c r="E34" s="500"/>
      <c r="F34" s="500"/>
      <c r="G34" s="485"/>
      <c r="H34" s="301" t="s">
        <v>257</v>
      </c>
      <c r="I34" s="78"/>
      <c r="J34" s="300" t="s">
        <v>289</v>
      </c>
      <c r="K34" s="300" t="s">
        <v>288</v>
      </c>
      <c r="L34" s="484" t="s">
        <v>287</v>
      </c>
      <c r="M34" s="500"/>
      <c r="N34" s="500"/>
      <c r="O34" s="485"/>
      <c r="P34" s="302" t="s">
        <v>257</v>
      </c>
      <c r="R34" s="72" t="s">
        <v>337</v>
      </c>
      <c r="S34" s="299"/>
      <c r="T34" s="299"/>
      <c r="U34" s="299"/>
      <c r="V34" s="299"/>
      <c r="W34" s="299"/>
      <c r="X34" s="299"/>
    </row>
    <row r="35" spans="1:26" ht="12.75" customHeight="1" x14ac:dyDescent="0.15">
      <c r="A35" s="303" t="str">
        <f>IFERROR(VLOOKUP($R35,Expenses!$B$3:$O$31,2,0),"")</f>
        <v/>
      </c>
      <c r="B35" s="552" t="str">
        <f>IFERROR(VLOOKUP($R35,Expenses!$B$3:$O$31,9,0),"")</f>
        <v/>
      </c>
      <c r="C35" s="553" t="str">
        <f>IFERROR(VLOOKUP($R36,Expenses!$B$3:$O$31,9,0),"")</f>
        <v/>
      </c>
      <c r="D35" s="553" t="str">
        <f>IFERROR(VLOOKUP($R36,Expenses!$B$3:$O$31,9,0),"")</f>
        <v/>
      </c>
      <c r="E35" s="553" t="str">
        <f>IFERROR(VLOOKUP($R36,Expenses!$B$3:$O$31,9,0),"")</f>
        <v/>
      </c>
      <c r="F35" s="553" t="str">
        <f>IFERROR(VLOOKUP($R36,Expenses!$B$3:$O$31,9,0),"")</f>
        <v/>
      </c>
      <c r="G35" s="554" t="str">
        <f>IFERROR(VLOOKUP($R36,Expenses!$B$3:$O$31,9,0),"")</f>
        <v/>
      </c>
      <c r="H35" s="304" t="str">
        <f>IFERROR(VLOOKUP($R35,Expenses!$B$3:$O$31,14,0),"")</f>
        <v/>
      </c>
      <c r="I35" s="78"/>
      <c r="J35" s="303" t="str">
        <f>IFERROR(VLOOKUP($R35,Expenses!$A$3:$O$31,3,0),"")</f>
        <v/>
      </c>
      <c r="K35" s="305" t="str">
        <f>IF(J35="","",$A$46)</f>
        <v/>
      </c>
      <c r="L35" s="481" t="str">
        <f>IFERROR(VLOOKUP($R35,Expenses!$A$3:$O$31,9,0)&amp;"-"&amp;VLOOKUP($R35,Expenses!$A$3:$O$31,10,0),"")</f>
        <v/>
      </c>
      <c r="M35" s="482"/>
      <c r="N35" s="482"/>
      <c r="O35" s="483"/>
      <c r="P35" s="306" t="str">
        <f>IFERROR(VLOOKUP($R35,Expenses!$A$3:$O$31,12,0),"")</f>
        <v/>
      </c>
      <c r="R35" s="72">
        <v>1</v>
      </c>
      <c r="S35" s="299"/>
      <c r="T35" s="299"/>
      <c r="U35" s="299"/>
      <c r="V35" s="299"/>
      <c r="W35" s="299"/>
      <c r="X35" s="299"/>
    </row>
    <row r="36" spans="1:26" ht="12.75" customHeight="1" x14ac:dyDescent="0.15">
      <c r="A36" s="307" t="str">
        <f>IFERROR(VLOOKUP($R36,Expenses!$B$3:$O$31,2,0),"")</f>
        <v/>
      </c>
      <c r="B36" s="519" t="str">
        <f>IFERROR(VLOOKUP($R36,Expenses!$B$3:$O$31,9,0),"")</f>
        <v/>
      </c>
      <c r="C36" s="520" t="str">
        <f>IFERROR(VLOOKUP($R37,Expenses!$B$3:$O$31,9,0),"")</f>
        <v/>
      </c>
      <c r="D36" s="520" t="str">
        <f>IFERROR(VLOOKUP($R37,Expenses!$B$3:$O$31,9,0),"")</f>
        <v/>
      </c>
      <c r="E36" s="520" t="str">
        <f>IFERROR(VLOOKUP($R37,Expenses!$B$3:$O$31,9,0),"")</f>
        <v/>
      </c>
      <c r="F36" s="520" t="str">
        <f>IFERROR(VLOOKUP($R37,Expenses!$B$3:$O$31,9,0),"")</f>
        <v/>
      </c>
      <c r="G36" s="521" t="str">
        <f>IFERROR(VLOOKUP($R37,Expenses!$B$3:$O$31,9,0),"")</f>
        <v/>
      </c>
      <c r="H36" s="308" t="str">
        <f>IFERROR(VLOOKUP($R36,Expenses!$B$3:$O$31,14,0),"")</f>
        <v/>
      </c>
      <c r="I36" s="78"/>
      <c r="J36" s="307" t="str">
        <f>IFERROR(VLOOKUP($R36,Expenses!$A$3:$O$31,3,0),"")</f>
        <v/>
      </c>
      <c r="K36" s="309" t="str">
        <f t="shared" ref="K36:K40" si="9">IF(J36="","",$A$46)</f>
        <v/>
      </c>
      <c r="L36" s="310" t="str">
        <f>IFERROR(VLOOKUP($R36,Expenses!$A$3:$O$31,9,0)&amp;"-"&amp;VLOOKUP($R36,Expenses!$A$3:$O$31,10,0),"")</f>
        <v/>
      </c>
      <c r="M36" s="311"/>
      <c r="N36" s="311"/>
      <c r="O36" s="312"/>
      <c r="P36" s="88" t="str">
        <f>IFERROR(VLOOKUP($R36,Expenses!$A$3:$O$31,12,0),"")</f>
        <v/>
      </c>
      <c r="R36" s="72">
        <v>2</v>
      </c>
      <c r="S36" s="299"/>
      <c r="T36" s="299"/>
      <c r="U36" s="299"/>
      <c r="V36" s="299"/>
      <c r="W36" s="299"/>
      <c r="X36" s="299"/>
    </row>
    <row r="37" spans="1:26" ht="12.75" customHeight="1" x14ac:dyDescent="0.15">
      <c r="A37" s="307" t="str">
        <f>IFERROR(VLOOKUP($R37,Expenses!$B$3:$O$31,2,0),"")</f>
        <v/>
      </c>
      <c r="B37" s="519" t="str">
        <f>IFERROR(VLOOKUP($R37,Expenses!$B$3:$O$31,9,0),"")</f>
        <v/>
      </c>
      <c r="C37" s="520" t="str">
        <f>IFERROR(VLOOKUP($R38,Expenses!$B$3:$O$31,9,0),"")</f>
        <v/>
      </c>
      <c r="D37" s="520" t="str">
        <f>IFERROR(VLOOKUP($R38,Expenses!$B$3:$O$31,9,0),"")</f>
        <v/>
      </c>
      <c r="E37" s="520" t="str">
        <f>IFERROR(VLOOKUP($R38,Expenses!$B$3:$O$31,9,0),"")</f>
        <v/>
      </c>
      <c r="F37" s="520" t="str">
        <f>IFERROR(VLOOKUP($R38,Expenses!$B$3:$O$31,9,0),"")</f>
        <v/>
      </c>
      <c r="G37" s="521" t="str">
        <f>IFERROR(VLOOKUP($R38,Expenses!$B$3:$O$31,9,0),"")</f>
        <v/>
      </c>
      <c r="H37" s="308" t="str">
        <f>IFERROR(VLOOKUP($R37,Expenses!$B$3:$O$31,14,0),"")</f>
        <v/>
      </c>
      <c r="I37" s="78"/>
      <c r="J37" s="307" t="str">
        <f>IFERROR(VLOOKUP($R37,Expenses!$A$3:$O$31,3,0),"")</f>
        <v/>
      </c>
      <c r="K37" s="309" t="str">
        <f t="shared" si="9"/>
        <v/>
      </c>
      <c r="L37" s="310" t="str">
        <f>IFERROR(VLOOKUP($R37,Expenses!$A$3:$O$31,9,0)&amp;"-"&amp;VLOOKUP($R37,Expenses!$A$3:$O$31,10,0),"")</f>
        <v/>
      </c>
      <c r="M37" s="311"/>
      <c r="N37" s="311"/>
      <c r="O37" s="312"/>
      <c r="P37" s="88" t="str">
        <f>IFERROR(VLOOKUP($R37,Expenses!$A$3:$O$31,12,0),"")</f>
        <v/>
      </c>
      <c r="R37" s="72">
        <v>3</v>
      </c>
      <c r="S37" s="313"/>
      <c r="T37" s="299"/>
      <c r="U37" s="299"/>
      <c r="V37" s="299"/>
      <c r="W37" s="299"/>
      <c r="X37" s="299"/>
      <c r="Y37" s="299"/>
      <c r="Z37" s="299"/>
    </row>
    <row r="38" spans="1:26" ht="12.75" customHeight="1" x14ac:dyDescent="0.15">
      <c r="A38" s="307" t="str">
        <f>IFERROR(VLOOKUP($R38,Expenses!$B$3:$O$31,2,0),"")</f>
        <v/>
      </c>
      <c r="B38" s="519" t="str">
        <f>IFERROR(VLOOKUP($R38,Expenses!$B$3:$O$31,9,0),"")</f>
        <v/>
      </c>
      <c r="C38" s="520" t="str">
        <f>IFERROR(VLOOKUP($R39,Expenses!$B$3:$O$31,9,0),"")</f>
        <v/>
      </c>
      <c r="D38" s="520" t="str">
        <f>IFERROR(VLOOKUP($R39,Expenses!$B$3:$O$31,9,0),"")</f>
        <v/>
      </c>
      <c r="E38" s="520" t="str">
        <f>IFERROR(VLOOKUP($R39,Expenses!$B$3:$O$31,9,0),"")</f>
        <v/>
      </c>
      <c r="F38" s="520" t="str">
        <f>IFERROR(VLOOKUP($R39,Expenses!$B$3:$O$31,9,0),"")</f>
        <v/>
      </c>
      <c r="G38" s="521" t="str">
        <f>IFERROR(VLOOKUP($R39,Expenses!$B$3:$O$31,9,0),"")</f>
        <v/>
      </c>
      <c r="H38" s="308" t="str">
        <f>IFERROR(VLOOKUP($R38,Expenses!$B$3:$O$31,14,0),"")</f>
        <v/>
      </c>
      <c r="I38" s="78"/>
      <c r="J38" s="307" t="str">
        <f>IFERROR(VLOOKUP($R38,Expenses!$A$3:$O$31,3,0),"")</f>
        <v/>
      </c>
      <c r="K38" s="309" t="str">
        <f t="shared" si="9"/>
        <v/>
      </c>
      <c r="L38" s="310" t="str">
        <f>IFERROR(VLOOKUP($R38,Expenses!$A$3:$O$31,9,0)&amp;"-"&amp;VLOOKUP($R38,Expenses!$A$3:$O$31,10,0),"")</f>
        <v/>
      </c>
      <c r="M38" s="311"/>
      <c r="N38" s="311"/>
      <c r="O38" s="312"/>
      <c r="P38" s="88" t="str">
        <f>IFERROR(VLOOKUP($R38,Expenses!$A$3:$O$31,12,0),"")</f>
        <v/>
      </c>
      <c r="R38" s="72">
        <v>4</v>
      </c>
      <c r="S38" s="313"/>
      <c r="T38" s="299"/>
      <c r="U38" s="299"/>
      <c r="V38" s="299"/>
      <c r="W38" s="299"/>
      <c r="X38" s="299"/>
      <c r="Y38" s="299"/>
      <c r="Z38" s="299"/>
    </row>
    <row r="39" spans="1:26" ht="12.75" customHeight="1" x14ac:dyDescent="0.15">
      <c r="A39" s="307" t="str">
        <f>IFERROR(VLOOKUP($R39,Expenses!$B$3:$O$31,2,0),"")</f>
        <v/>
      </c>
      <c r="B39" s="519" t="str">
        <f>IFERROR(VLOOKUP($R39,Expenses!$B$3:$O$31,9,0),"")</f>
        <v/>
      </c>
      <c r="C39" s="520" t="str">
        <f>IFERROR(VLOOKUP($R40,Expenses!$B$3:$O$31,9,0),"")</f>
        <v/>
      </c>
      <c r="D39" s="520" t="str">
        <f>IFERROR(VLOOKUP($R40,Expenses!$B$3:$O$31,9,0),"")</f>
        <v/>
      </c>
      <c r="E39" s="520" t="str">
        <f>IFERROR(VLOOKUP($R40,Expenses!$B$3:$O$31,9,0),"")</f>
        <v/>
      </c>
      <c r="F39" s="520" t="str">
        <f>IFERROR(VLOOKUP($R40,Expenses!$B$3:$O$31,9,0),"")</f>
        <v/>
      </c>
      <c r="G39" s="521" t="str">
        <f>IFERROR(VLOOKUP($R40,Expenses!$B$3:$O$31,9,0),"")</f>
        <v/>
      </c>
      <c r="H39" s="308" t="str">
        <f>IFERROR(VLOOKUP($R39,Expenses!$B$3:$O$31,14,0),"")</f>
        <v/>
      </c>
      <c r="I39" s="78"/>
      <c r="J39" s="307" t="str">
        <f>IFERROR(VLOOKUP($R39,Expenses!$A$3:$O$31,3,0),"")</f>
        <v/>
      </c>
      <c r="K39" s="309" t="str">
        <f t="shared" si="9"/>
        <v/>
      </c>
      <c r="L39" s="310" t="str">
        <f>IFERROR(VLOOKUP($R39,Expenses!$A$3:$O$31,9,0)&amp;"-"&amp;VLOOKUP($R39,Expenses!$A$3:$O$31,10,0),"")</f>
        <v/>
      </c>
      <c r="M39" s="311"/>
      <c r="N39" s="311"/>
      <c r="O39" s="312"/>
      <c r="P39" s="88" t="str">
        <f>IFERROR(VLOOKUP($R39,Expenses!$A$3:$O$31,12,0),"")</f>
        <v/>
      </c>
      <c r="R39" s="72">
        <v>5</v>
      </c>
      <c r="S39" s="313"/>
      <c r="T39" s="299"/>
      <c r="U39" s="299"/>
      <c r="V39" s="299"/>
      <c r="W39" s="299"/>
      <c r="X39" s="299"/>
      <c r="Y39" s="299"/>
      <c r="Z39" s="299"/>
    </row>
    <row r="40" spans="1:26" ht="12.75" customHeight="1" thickBot="1" x14ac:dyDescent="0.2">
      <c r="A40" s="314" t="str">
        <f>IFERROR(VLOOKUP($R40,Expenses!$B$3:$O$31,2,0),"")</f>
        <v/>
      </c>
      <c r="B40" s="522" t="str">
        <f>IFERROR(VLOOKUP($R40,Expenses!$B$3:$O$31,9,0),"")</f>
        <v/>
      </c>
      <c r="C40" s="523" t="str">
        <f>IFERROR(VLOOKUP($R41,Expenses!$B$3:$O$31,9,0),"")</f>
        <v>Start of Trip</v>
      </c>
      <c r="D40" s="523" t="str">
        <f>IFERROR(VLOOKUP($R41,Expenses!$B$3:$O$31,9,0),"")</f>
        <v>Start of Trip</v>
      </c>
      <c r="E40" s="523" t="str">
        <f>IFERROR(VLOOKUP($R41,Expenses!$B$3:$O$31,9,0),"")</f>
        <v>Start of Trip</v>
      </c>
      <c r="F40" s="523" t="str">
        <f>IFERROR(VLOOKUP($R41,Expenses!$B$3:$O$31,9,0),"")</f>
        <v>Start of Trip</v>
      </c>
      <c r="G40" s="524" t="str">
        <f>IFERROR(VLOOKUP($R41,Expenses!$B$3:$O$31,9,0),"")</f>
        <v>Start of Trip</v>
      </c>
      <c r="H40" s="315" t="str">
        <f>IFERROR(VLOOKUP($R40,Expenses!$B$3:$O$31,14,0),"")</f>
        <v/>
      </c>
      <c r="I40" s="78"/>
      <c r="J40" s="314" t="str">
        <f>IFERROR(VLOOKUP($R40,Expenses!$A$3:$O$31,3,0),"")</f>
        <v/>
      </c>
      <c r="K40" s="316" t="str">
        <f t="shared" si="9"/>
        <v/>
      </c>
      <c r="L40" s="317" t="str">
        <f>IFERROR(VLOOKUP($R40,Expenses!$A$3:$O$31,9,0)&amp;"-"&amp;VLOOKUP($R40,Expenses!$A$3:$O$31,10,0),"")</f>
        <v/>
      </c>
      <c r="M40" s="318"/>
      <c r="N40" s="318"/>
      <c r="O40" s="319"/>
      <c r="P40" s="320" t="str">
        <f>IFERROR(VLOOKUP($R40,Expenses!$A$3:$O$31,12,0),"")</f>
        <v/>
      </c>
      <c r="R40" s="72">
        <v>6</v>
      </c>
      <c r="S40" s="313"/>
      <c r="T40" s="299"/>
      <c r="U40" s="299"/>
      <c r="V40" s="299"/>
      <c r="W40" s="299"/>
      <c r="X40" s="299"/>
      <c r="Y40" s="299"/>
      <c r="Z40" s="299"/>
    </row>
    <row r="41" spans="1:26" ht="15" customHeight="1" thickBot="1" x14ac:dyDescent="0.2">
      <c r="A41" s="525" t="s">
        <v>286</v>
      </c>
      <c r="B41" s="526"/>
      <c r="C41" s="526"/>
      <c r="D41" s="526"/>
      <c r="E41" s="526"/>
      <c r="F41" s="526"/>
      <c r="G41" s="527"/>
      <c r="H41" s="321">
        <f>H114</f>
        <v>0</v>
      </c>
      <c r="I41" s="78"/>
      <c r="J41" s="525" t="s">
        <v>285</v>
      </c>
      <c r="K41" s="526"/>
      <c r="L41" s="526"/>
      <c r="M41" s="526"/>
      <c r="N41" s="526"/>
      <c r="O41" s="527"/>
      <c r="P41" s="321">
        <f>P114</f>
        <v>0</v>
      </c>
      <c r="S41" s="313"/>
      <c r="T41" s="299"/>
      <c r="U41" s="299"/>
      <c r="V41" s="299"/>
      <c r="W41" s="299"/>
      <c r="X41" s="299"/>
      <c r="Y41" s="299"/>
      <c r="Z41" s="299"/>
    </row>
    <row r="42" spans="1:26" ht="15" customHeight="1" thickBot="1" x14ac:dyDescent="0.2">
      <c r="A42" s="525" t="s">
        <v>284</v>
      </c>
      <c r="B42" s="526"/>
      <c r="C42" s="526"/>
      <c r="D42" s="526"/>
      <c r="E42" s="526"/>
      <c r="F42" s="526"/>
      <c r="G42" s="527"/>
      <c r="H42" s="321">
        <f>SUM(H35:H41)</f>
        <v>0</v>
      </c>
      <c r="I42" s="78"/>
      <c r="J42" s="525" t="s">
        <v>283</v>
      </c>
      <c r="K42" s="526"/>
      <c r="L42" s="526"/>
      <c r="M42" s="526"/>
      <c r="N42" s="526"/>
      <c r="O42" s="527"/>
      <c r="P42" s="321">
        <f>SUM(P35:P41)</f>
        <v>0</v>
      </c>
      <c r="S42" s="299"/>
    </row>
    <row r="43" spans="1:26" ht="12.75" customHeight="1" thickBot="1" x14ac:dyDescent="0.2">
      <c r="E43" s="78"/>
      <c r="F43" s="298"/>
      <c r="G43" s="298"/>
      <c r="H43" s="298"/>
      <c r="I43" s="78"/>
      <c r="J43" s="78"/>
      <c r="K43" s="78"/>
      <c r="L43" s="78"/>
      <c r="M43" s="78"/>
      <c r="N43" s="78"/>
      <c r="O43" s="78"/>
      <c r="P43" s="78"/>
      <c r="S43" s="299"/>
    </row>
    <row r="44" spans="1:26" ht="17.25" customHeight="1" thickBot="1" x14ac:dyDescent="0.2">
      <c r="A44" s="501" t="s">
        <v>282</v>
      </c>
      <c r="B44" s="502"/>
      <c r="C44" s="502"/>
      <c r="D44" s="502"/>
      <c r="E44" s="503"/>
      <c r="F44" s="78"/>
      <c r="G44" s="78"/>
      <c r="H44" s="78"/>
      <c r="I44" s="78"/>
      <c r="J44" s="504" t="s">
        <v>281</v>
      </c>
      <c r="K44" s="505"/>
      <c r="L44" s="505"/>
      <c r="M44" s="505"/>
      <c r="N44" s="505"/>
      <c r="O44" s="506"/>
      <c r="P44" s="322" t="e">
        <f>+P31-P42</f>
        <v>#VALUE!</v>
      </c>
      <c r="S44" s="299"/>
    </row>
    <row r="45" spans="1:26" ht="12.75" customHeight="1" thickBot="1" x14ac:dyDescent="0.2">
      <c r="A45" s="323" t="s">
        <v>280</v>
      </c>
      <c r="B45" s="507" t="s">
        <v>279</v>
      </c>
      <c r="C45" s="507"/>
      <c r="D45" s="507"/>
      <c r="E45" s="508"/>
      <c r="F45" s="78"/>
      <c r="G45" s="78"/>
      <c r="H45" s="78"/>
      <c r="I45" s="78"/>
      <c r="S45" s="299"/>
    </row>
    <row r="46" spans="1:26" ht="12.75" customHeight="1" x14ac:dyDescent="0.15">
      <c r="A46" s="324" t="s">
        <v>278</v>
      </c>
      <c r="B46" s="509" t="s">
        <v>277</v>
      </c>
      <c r="C46" s="509"/>
      <c r="D46" s="509"/>
      <c r="E46" s="510"/>
      <c r="F46" s="78"/>
      <c r="G46" s="78"/>
      <c r="H46" s="78"/>
      <c r="I46" s="78"/>
      <c r="J46" s="511" t="s">
        <v>276</v>
      </c>
      <c r="K46" s="512"/>
      <c r="L46" s="512"/>
      <c r="M46" s="512"/>
      <c r="N46" s="512"/>
      <c r="O46" s="512"/>
      <c r="P46" s="513"/>
      <c r="Q46" s="78" t="s">
        <v>848</v>
      </c>
    </row>
    <row r="47" spans="1:26" x14ac:dyDescent="0.15">
      <c r="A47" s="324" t="s">
        <v>275</v>
      </c>
      <c r="B47" s="509" t="s">
        <v>274</v>
      </c>
      <c r="C47" s="509"/>
      <c r="D47" s="509"/>
      <c r="E47" s="510"/>
      <c r="F47" s="78"/>
      <c r="G47" s="78"/>
      <c r="H47" s="78"/>
      <c r="I47" s="78"/>
      <c r="J47" s="514"/>
      <c r="K47" s="515"/>
      <c r="L47" s="515"/>
      <c r="M47" s="515"/>
      <c r="N47" s="515"/>
      <c r="O47" s="515"/>
      <c r="P47" s="516"/>
    </row>
    <row r="48" spans="1:26" ht="14" thickBot="1" x14ac:dyDescent="0.2">
      <c r="A48" s="325" t="s">
        <v>273</v>
      </c>
      <c r="B48" s="517" t="s">
        <v>272</v>
      </c>
      <c r="C48" s="517"/>
      <c r="D48" s="517"/>
      <c r="E48" s="518"/>
      <c r="F48" s="78"/>
      <c r="G48" s="78"/>
      <c r="H48" s="78"/>
      <c r="I48" s="78"/>
      <c r="J48" s="514"/>
      <c r="K48" s="515"/>
      <c r="L48" s="515"/>
      <c r="M48" s="515"/>
      <c r="N48" s="515"/>
      <c r="O48" s="515"/>
      <c r="P48" s="516"/>
    </row>
    <row r="49" spans="1:25" ht="14" thickBot="1" x14ac:dyDescent="0.2">
      <c r="A49" s="326"/>
      <c r="B49" s="327"/>
      <c r="C49" s="327"/>
      <c r="D49" s="327"/>
      <c r="F49" s="328"/>
      <c r="G49" s="328"/>
      <c r="H49" s="328"/>
      <c r="I49" s="78"/>
      <c r="J49" s="329"/>
      <c r="K49" s="330"/>
      <c r="L49" s="330"/>
      <c r="M49" s="330"/>
      <c r="N49" s="330"/>
      <c r="O49" s="330"/>
      <c r="P49" s="331"/>
    </row>
    <row r="50" spans="1:25" ht="15" customHeight="1" thickBot="1" x14ac:dyDescent="0.2">
      <c r="A50" s="540" t="s">
        <v>271</v>
      </c>
      <c r="B50" s="541"/>
      <c r="C50" s="541"/>
      <c r="D50" s="541"/>
      <c r="E50" s="541"/>
      <c r="F50" s="541"/>
      <c r="G50" s="541"/>
      <c r="H50" s="542"/>
      <c r="I50" s="78"/>
      <c r="J50" s="332"/>
      <c r="K50" s="333"/>
      <c r="L50" s="333"/>
      <c r="M50" s="333"/>
      <c r="N50" s="334"/>
      <c r="O50" s="397"/>
      <c r="P50" s="238"/>
    </row>
    <row r="51" spans="1:25" x14ac:dyDescent="0.15">
      <c r="A51" s="543"/>
      <c r="B51" s="544"/>
      <c r="C51" s="544"/>
      <c r="D51" s="544"/>
      <c r="E51" s="544"/>
      <c r="F51" s="544"/>
      <c r="G51" s="544"/>
      <c r="H51" s="545"/>
      <c r="I51" s="78"/>
      <c r="J51" s="335" t="s">
        <v>270</v>
      </c>
      <c r="K51" s="336"/>
      <c r="L51" s="336"/>
      <c r="M51" s="336"/>
      <c r="N51" s="76"/>
      <c r="O51" s="76"/>
      <c r="P51" s="337" t="s">
        <v>5</v>
      </c>
      <c r="T51" s="338"/>
      <c r="U51" s="338"/>
      <c r="V51" s="338"/>
      <c r="W51" s="338"/>
      <c r="X51" s="338"/>
      <c r="Y51" s="338"/>
    </row>
    <row r="52" spans="1:25" x14ac:dyDescent="0.15">
      <c r="A52" s="546"/>
      <c r="B52" s="547"/>
      <c r="C52" s="547"/>
      <c r="D52" s="547"/>
      <c r="E52" s="547"/>
      <c r="F52" s="547"/>
      <c r="G52" s="547"/>
      <c r="H52" s="548"/>
      <c r="I52" s="78"/>
      <c r="J52" s="339"/>
      <c r="K52" s="76"/>
      <c r="L52" s="76"/>
      <c r="M52" s="76"/>
      <c r="N52" s="76"/>
      <c r="O52" s="76"/>
      <c r="P52" s="331"/>
      <c r="T52" s="338"/>
      <c r="U52" s="338"/>
      <c r="V52" s="338"/>
      <c r="W52" s="338"/>
      <c r="X52" s="338"/>
      <c r="Y52" s="338"/>
    </row>
    <row r="53" spans="1:25" x14ac:dyDescent="0.15">
      <c r="A53" s="546"/>
      <c r="B53" s="547"/>
      <c r="C53" s="547"/>
      <c r="D53" s="547"/>
      <c r="E53" s="547"/>
      <c r="F53" s="547"/>
      <c r="G53" s="547"/>
      <c r="H53" s="548"/>
      <c r="I53" s="78"/>
      <c r="J53" s="340"/>
      <c r="K53" s="334"/>
      <c r="L53" s="334"/>
      <c r="M53" s="334"/>
      <c r="N53" s="334"/>
      <c r="O53" s="397"/>
      <c r="P53" s="398"/>
      <c r="T53" s="338"/>
      <c r="U53" s="338"/>
      <c r="V53" s="338"/>
      <c r="W53" s="338"/>
      <c r="X53" s="338"/>
      <c r="Y53" s="338"/>
    </row>
    <row r="54" spans="1:25" ht="14" thickBot="1" x14ac:dyDescent="0.2">
      <c r="A54" s="546"/>
      <c r="B54" s="547"/>
      <c r="C54" s="547"/>
      <c r="D54" s="547"/>
      <c r="E54" s="547"/>
      <c r="F54" s="547"/>
      <c r="G54" s="547"/>
      <c r="H54" s="548"/>
      <c r="I54" s="78"/>
      <c r="J54" s="492" t="s">
        <v>269</v>
      </c>
      <c r="K54" s="493"/>
      <c r="L54" s="493"/>
      <c r="M54" s="493"/>
      <c r="N54" s="493"/>
      <c r="O54" s="493"/>
      <c r="P54" s="341" t="s">
        <v>5</v>
      </c>
      <c r="T54" s="338"/>
      <c r="U54" s="338"/>
      <c r="V54" s="338"/>
      <c r="W54" s="338"/>
      <c r="X54" s="338"/>
      <c r="Y54" s="338"/>
    </row>
    <row r="55" spans="1:25" ht="6" customHeight="1" thickBot="1" x14ac:dyDescent="0.2">
      <c r="A55" s="546"/>
      <c r="B55" s="547"/>
      <c r="C55" s="547"/>
      <c r="D55" s="547"/>
      <c r="E55" s="547"/>
      <c r="F55" s="547"/>
      <c r="G55" s="547"/>
      <c r="H55" s="548"/>
      <c r="I55" s="78"/>
      <c r="J55" s="342"/>
      <c r="T55" s="343"/>
      <c r="U55" s="77"/>
      <c r="V55" s="77"/>
      <c r="W55" s="77"/>
      <c r="Y55" s="77"/>
    </row>
    <row r="56" spans="1:25" ht="12.75" customHeight="1" x14ac:dyDescent="0.15">
      <c r="A56" s="546"/>
      <c r="B56" s="547"/>
      <c r="C56" s="547"/>
      <c r="D56" s="547"/>
      <c r="E56" s="547"/>
      <c r="F56" s="547"/>
      <c r="G56" s="547"/>
      <c r="H56" s="548"/>
      <c r="I56" s="78"/>
      <c r="J56" s="494" t="s">
        <v>268</v>
      </c>
      <c r="K56" s="495"/>
      <c r="L56" s="495"/>
      <c r="M56" s="495"/>
      <c r="N56" s="495"/>
      <c r="O56" s="495"/>
      <c r="P56" s="496"/>
    </row>
    <row r="57" spans="1:25" ht="12.75" customHeight="1" x14ac:dyDescent="0.15">
      <c r="A57" s="546"/>
      <c r="B57" s="547"/>
      <c r="C57" s="547"/>
      <c r="D57" s="547"/>
      <c r="E57" s="547"/>
      <c r="F57" s="547"/>
      <c r="G57" s="547"/>
      <c r="H57" s="548"/>
      <c r="I57" s="78"/>
      <c r="J57" s="497"/>
      <c r="K57" s="498"/>
      <c r="L57" s="498"/>
      <c r="M57" s="498"/>
      <c r="N57" s="498"/>
      <c r="O57" s="498"/>
      <c r="P57" s="499"/>
      <c r="T57" s="344"/>
    </row>
    <row r="58" spans="1:25" x14ac:dyDescent="0.15">
      <c r="A58" s="546"/>
      <c r="B58" s="547"/>
      <c r="C58" s="547"/>
      <c r="D58" s="547"/>
      <c r="E58" s="547"/>
      <c r="F58" s="547"/>
      <c r="G58" s="547"/>
      <c r="H58" s="548"/>
      <c r="I58" s="78"/>
      <c r="J58" s="497"/>
      <c r="K58" s="498"/>
      <c r="L58" s="498"/>
      <c r="M58" s="498"/>
      <c r="N58" s="498"/>
      <c r="O58" s="498"/>
      <c r="P58" s="499"/>
      <c r="T58" s="343"/>
      <c r="U58" s="343"/>
      <c r="V58" s="343"/>
      <c r="W58" s="343"/>
      <c r="X58" s="343"/>
      <c r="Y58" s="77"/>
    </row>
    <row r="59" spans="1:25" x14ac:dyDescent="0.15">
      <c r="A59" s="546"/>
      <c r="B59" s="547"/>
      <c r="C59" s="547"/>
      <c r="D59" s="547"/>
      <c r="E59" s="547"/>
      <c r="F59" s="547"/>
      <c r="G59" s="547"/>
      <c r="H59" s="548"/>
      <c r="I59" s="78"/>
      <c r="J59" s="345"/>
      <c r="K59" s="346"/>
      <c r="L59" s="346"/>
      <c r="M59" s="346"/>
      <c r="N59" s="346"/>
      <c r="O59" s="346"/>
      <c r="P59" s="347"/>
    </row>
    <row r="60" spans="1:25" x14ac:dyDescent="0.15">
      <c r="A60" s="546"/>
      <c r="B60" s="547"/>
      <c r="C60" s="547"/>
      <c r="D60" s="547"/>
      <c r="E60" s="547"/>
      <c r="F60" s="547"/>
      <c r="G60" s="547"/>
      <c r="H60" s="548"/>
      <c r="I60" s="78"/>
      <c r="J60" s="339"/>
      <c r="K60" s="76"/>
      <c r="L60" s="76"/>
      <c r="M60" s="76"/>
      <c r="N60" s="76"/>
      <c r="O60" s="399"/>
      <c r="P60" s="400"/>
    </row>
    <row r="61" spans="1:25" ht="6.75" customHeight="1" x14ac:dyDescent="0.15">
      <c r="A61" s="546"/>
      <c r="B61" s="547"/>
      <c r="C61" s="547"/>
      <c r="D61" s="547"/>
      <c r="E61" s="547"/>
      <c r="F61" s="547"/>
      <c r="G61" s="547"/>
      <c r="H61" s="548"/>
      <c r="I61" s="78"/>
      <c r="J61" s="348"/>
      <c r="K61" s="334"/>
      <c r="L61" s="334"/>
      <c r="M61" s="334"/>
      <c r="N61" s="334"/>
      <c r="O61" s="397"/>
      <c r="P61" s="238"/>
    </row>
    <row r="62" spans="1:25" ht="14" thickBot="1" x14ac:dyDescent="0.2">
      <c r="A62" s="549"/>
      <c r="B62" s="550"/>
      <c r="C62" s="550"/>
      <c r="D62" s="550"/>
      <c r="E62" s="550"/>
      <c r="F62" s="550"/>
      <c r="G62" s="550"/>
      <c r="H62" s="551"/>
      <c r="I62" s="78"/>
      <c r="J62" s="349" t="s">
        <v>267</v>
      </c>
      <c r="K62" s="350"/>
      <c r="L62" s="350"/>
      <c r="M62" s="350"/>
      <c r="N62" s="350"/>
      <c r="O62" s="350"/>
      <c r="P62" s="351" t="s">
        <v>5</v>
      </c>
    </row>
    <row r="63" spans="1:25" ht="7.5" customHeight="1" thickBot="1" x14ac:dyDescent="0.2">
      <c r="I63" s="350"/>
      <c r="J63" s="350"/>
      <c r="K63" s="350"/>
      <c r="L63" s="350"/>
      <c r="M63" s="350"/>
      <c r="N63" s="352"/>
    </row>
    <row r="64" spans="1:25" ht="16.5" customHeight="1" thickBot="1" x14ac:dyDescent="0.2">
      <c r="A64" s="484" t="s">
        <v>266</v>
      </c>
      <c r="B64" s="500"/>
      <c r="C64" s="500"/>
      <c r="D64" s="500"/>
      <c r="E64" s="500"/>
      <c r="F64" s="500"/>
      <c r="G64" s="500"/>
      <c r="H64" s="500"/>
      <c r="I64" s="500"/>
      <c r="J64" s="500"/>
      <c r="K64" s="500"/>
      <c r="L64" s="500"/>
      <c r="M64" s="500"/>
      <c r="N64" s="500"/>
      <c r="O64" s="500"/>
      <c r="P64" s="485"/>
    </row>
    <row r="65" spans="1:24" ht="26.25" customHeight="1" thickBot="1" x14ac:dyDescent="0.2">
      <c r="A65" s="75" t="s">
        <v>265</v>
      </c>
      <c r="B65" s="262" t="s">
        <v>264</v>
      </c>
      <c r="C65" s="73" t="s">
        <v>263</v>
      </c>
      <c r="D65" s="73" t="s">
        <v>262</v>
      </c>
      <c r="E65" s="73" t="s">
        <v>261</v>
      </c>
      <c r="F65" s="73" t="s">
        <v>260</v>
      </c>
      <c r="G65" s="484" t="s">
        <v>259</v>
      </c>
      <c r="H65" s="485"/>
      <c r="I65" s="74" t="s">
        <v>258</v>
      </c>
      <c r="J65" s="262" t="s">
        <v>257</v>
      </c>
      <c r="K65" s="353" t="s">
        <v>256</v>
      </c>
      <c r="L65" s="73" t="s">
        <v>255</v>
      </c>
      <c r="M65" s="74" t="s">
        <v>254</v>
      </c>
      <c r="N65" s="73" t="s">
        <v>253</v>
      </c>
      <c r="O65" s="73" t="s">
        <v>252</v>
      </c>
      <c r="P65" s="300" t="s">
        <v>251</v>
      </c>
    </row>
    <row r="66" spans="1:24" ht="14" thickBot="1" x14ac:dyDescent="0.2">
      <c r="A66" s="354" t="e">
        <f>VLOOKUP($E66,Lookups!$A$2:$C$151,3,0)</f>
        <v>#N/A</v>
      </c>
      <c r="B66" s="354"/>
      <c r="C66" s="354" t="s">
        <v>1024</v>
      </c>
      <c r="D66" s="354" t="s">
        <v>1025</v>
      </c>
      <c r="E66" s="354">
        <f>Request!$B$11</f>
        <v>0</v>
      </c>
      <c r="F66" s="354"/>
      <c r="G66" s="538" t="s">
        <v>239</v>
      </c>
      <c r="H66" s="539" t="s">
        <v>239</v>
      </c>
      <c r="I66" s="355"/>
      <c r="J66" s="356">
        <f>SUMPRODUCT(($H66=Line_Item)*(Total))</f>
        <v>0</v>
      </c>
      <c r="K66" s="356"/>
      <c r="L66" s="354"/>
      <c r="M66" s="354"/>
      <c r="N66" s="354"/>
      <c r="O66" s="357"/>
      <c r="P66" s="358"/>
    </row>
    <row r="67" spans="1:24" ht="14" thickBot="1" x14ac:dyDescent="0.2">
      <c r="A67" s="354" t="e">
        <f>VLOOKUP($E67,Lookups!$A$2:$C$151,3,0)</f>
        <v>#N/A</v>
      </c>
      <c r="B67" s="354"/>
      <c r="C67" s="354" t="s">
        <v>1024</v>
      </c>
      <c r="D67" s="354" t="s">
        <v>1025</v>
      </c>
      <c r="E67" s="354">
        <f>Request!$B$11</f>
        <v>0</v>
      </c>
      <c r="F67" s="354"/>
      <c r="G67" s="538" t="s">
        <v>246</v>
      </c>
      <c r="H67" s="539" t="s">
        <v>246</v>
      </c>
      <c r="I67" s="355"/>
      <c r="J67" s="356">
        <f>SUMPRODUCT(($H67=Line_Item)*(Total))</f>
        <v>0</v>
      </c>
      <c r="K67" s="356"/>
      <c r="L67" s="354"/>
      <c r="M67" s="354"/>
      <c r="N67" s="354"/>
      <c r="O67" s="357"/>
      <c r="P67" s="358"/>
    </row>
    <row r="68" spans="1:24" ht="14" thickBot="1" x14ac:dyDescent="0.2">
      <c r="A68" s="354" t="e">
        <f>VLOOKUP($E68,Lookups!$A$2:$C$151,3,0)</f>
        <v>#N/A</v>
      </c>
      <c r="B68" s="354"/>
      <c r="C68" s="354" t="s">
        <v>1024</v>
      </c>
      <c r="D68" s="354" t="s">
        <v>1025</v>
      </c>
      <c r="E68" s="354">
        <f>Request!$B$11</f>
        <v>0</v>
      </c>
      <c r="F68" s="354"/>
      <c r="G68" s="538" t="s">
        <v>243</v>
      </c>
      <c r="H68" s="539" t="s">
        <v>243</v>
      </c>
      <c r="I68" s="355"/>
      <c r="J68" s="356">
        <f>SUMPRODUCT(($H68=Line_Item)*(Total))</f>
        <v>0</v>
      </c>
      <c r="K68" s="356"/>
      <c r="L68" s="354"/>
      <c r="M68" s="354"/>
      <c r="N68" s="354"/>
      <c r="O68" s="357"/>
      <c r="P68" s="358"/>
    </row>
    <row r="69" spans="1:24" ht="14" thickBot="1" x14ac:dyDescent="0.2">
      <c r="A69" s="354" t="e">
        <f>VLOOKUP($E69,Lookups!$A$2:$C$151,3,0)</f>
        <v>#N/A</v>
      </c>
      <c r="B69" s="354"/>
      <c r="C69" s="354" t="s">
        <v>1024</v>
      </c>
      <c r="D69" s="354" t="s">
        <v>1025</v>
      </c>
      <c r="E69" s="354">
        <f>Request!$B$11</f>
        <v>0</v>
      </c>
      <c r="F69" s="354"/>
      <c r="G69" s="538" t="s">
        <v>244</v>
      </c>
      <c r="H69" s="539" t="s">
        <v>244</v>
      </c>
      <c r="I69" s="355"/>
      <c r="J69" s="356">
        <f>SUMPRODUCT(($H69=Line_Item)*(Total))</f>
        <v>0</v>
      </c>
      <c r="K69" s="356"/>
      <c r="L69" s="354"/>
      <c r="M69" s="354"/>
      <c r="N69" s="354"/>
      <c r="O69" s="357"/>
      <c r="P69" s="358"/>
    </row>
    <row r="70" spans="1:24" ht="14" thickBot="1" x14ac:dyDescent="0.2">
      <c r="A70" s="354" t="e">
        <f>VLOOKUP($E70,Lookups!$A$2:$C$151,3,0)</f>
        <v>#N/A</v>
      </c>
      <c r="B70" s="354"/>
      <c r="C70" s="354" t="s">
        <v>1024</v>
      </c>
      <c r="D70" s="354" t="s">
        <v>1025</v>
      </c>
      <c r="E70" s="354">
        <f>Request!$B$11</f>
        <v>0</v>
      </c>
      <c r="F70" s="359"/>
      <c r="G70" s="538" t="s">
        <v>245</v>
      </c>
      <c r="H70" s="539" t="s">
        <v>245</v>
      </c>
      <c r="I70" s="355"/>
      <c r="J70" s="356">
        <f>SUMPRODUCT(($H70=Line_Item)*(Total))</f>
        <v>0</v>
      </c>
      <c r="K70" s="356"/>
      <c r="L70" s="354"/>
      <c r="M70" s="354"/>
      <c r="N70" s="354"/>
      <c r="O70" s="360"/>
      <c r="P70" s="358"/>
    </row>
    <row r="71" spans="1:24" ht="14" thickBot="1" x14ac:dyDescent="0.2">
      <c r="A71" s="354"/>
      <c r="B71" s="354"/>
      <c r="C71" s="354"/>
      <c r="D71" s="354"/>
      <c r="E71" s="354"/>
      <c r="F71" s="359"/>
      <c r="G71" s="538"/>
      <c r="H71" s="539"/>
      <c r="I71" s="355"/>
      <c r="J71" s="356"/>
      <c r="K71" s="356"/>
      <c r="L71" s="354"/>
      <c r="M71" s="354"/>
      <c r="N71" s="354"/>
      <c r="O71" s="360"/>
      <c r="P71" s="358"/>
    </row>
    <row r="72" spans="1:24" ht="14" thickBot="1" x14ac:dyDescent="0.2">
      <c r="A72" s="354"/>
      <c r="B72" s="354"/>
      <c r="C72" s="354"/>
      <c r="D72" s="354"/>
      <c r="E72" s="354"/>
      <c r="F72" s="359"/>
      <c r="G72" s="533"/>
      <c r="H72" s="534"/>
      <c r="I72" s="355"/>
      <c r="J72" s="356"/>
      <c r="K72" s="356"/>
      <c r="L72" s="354"/>
      <c r="M72" s="354"/>
      <c r="N72" s="354"/>
      <c r="O72" s="360"/>
      <c r="P72" s="358"/>
    </row>
    <row r="73" spans="1:24" s="91" customFormat="1" ht="29.25" customHeight="1" thickBot="1" x14ac:dyDescent="0.2">
      <c r="A73" s="257" t="s">
        <v>289</v>
      </c>
      <c r="B73" s="257" t="s">
        <v>304</v>
      </c>
      <c r="C73" s="258" t="s">
        <v>303</v>
      </c>
      <c r="D73" s="259"/>
      <c r="E73" s="259"/>
      <c r="F73" s="257" t="s">
        <v>302</v>
      </c>
      <c r="G73" s="484" t="s">
        <v>257</v>
      </c>
      <c r="H73" s="485"/>
      <c r="I73" s="260" t="s">
        <v>301</v>
      </c>
      <c r="J73" s="261" t="s">
        <v>300</v>
      </c>
      <c r="K73" s="257" t="s">
        <v>298</v>
      </c>
      <c r="L73" s="258" t="s">
        <v>273</v>
      </c>
      <c r="M73" s="261" t="s">
        <v>299</v>
      </c>
      <c r="N73" s="262" t="s">
        <v>845</v>
      </c>
      <c r="O73" s="263" t="s">
        <v>849</v>
      </c>
      <c r="P73" s="264" t="s">
        <v>297</v>
      </c>
      <c r="R73" s="91" t="s">
        <v>337</v>
      </c>
      <c r="X73" s="72"/>
    </row>
    <row r="74" spans="1:24" x14ac:dyDescent="0.15">
      <c r="A74" s="361" t="str">
        <f>VLOOKUP(S74,Expenses!$AE$3:$AH$38,3,0)</f>
        <v/>
      </c>
      <c r="B74" s="362" t="str">
        <f>IF(AND($A74&lt;&gt;"",$A75=""),Request!$F$16,"")</f>
        <v/>
      </c>
      <c r="C74" s="469" t="str">
        <f>VLOOKUP($S74,Expenses!$AE$3:$AH$38,4,0)</f>
        <v/>
      </c>
      <c r="D74" s="470"/>
      <c r="E74" s="471"/>
      <c r="F74" s="267">
        <f t="shared" ref="F74" si="10">IFERROR(MROUND(H74/$H$13,0.1),0)</f>
        <v>0</v>
      </c>
      <c r="G74" s="363"/>
      <c r="H74" s="268">
        <f t="shared" ref="H74" si="11">IF($A74="",0,SUMPRODUCT(($A74=Date)*($C74=City__State)*(Category=F$16)*(Total)))</f>
        <v>0</v>
      </c>
      <c r="I74" s="269">
        <f t="shared" ref="I74:N89" si="12">IF($A74="",0,SUMPRODUCT(($A74=Date)*($C74=City__State)*(Category=I$16)*(Total)))</f>
        <v>0</v>
      </c>
      <c r="J74" s="270">
        <f t="shared" si="12"/>
        <v>0</v>
      </c>
      <c r="K74" s="270">
        <f t="shared" si="12"/>
        <v>0</v>
      </c>
      <c r="L74" s="271">
        <f t="shared" si="12"/>
        <v>0</v>
      </c>
      <c r="M74" s="271">
        <f t="shared" si="12"/>
        <v>0</v>
      </c>
      <c r="N74" s="272">
        <f t="shared" si="12"/>
        <v>0</v>
      </c>
      <c r="O74" s="270">
        <f>IF(M74&gt;N74,M74-N74,0)</f>
        <v>0</v>
      </c>
      <c r="P74" s="272">
        <f>SUM(H74:M74)</f>
        <v>0</v>
      </c>
      <c r="R74" s="72">
        <v>14</v>
      </c>
      <c r="S74" s="222" t="str">
        <f>IFERROR(SMALL(Expenses!$AE$3:$AE$38,R74),"")</f>
        <v/>
      </c>
    </row>
    <row r="75" spans="1:24" x14ac:dyDescent="0.15">
      <c r="A75" s="361" t="str">
        <f>VLOOKUP(S75,Expenses!$AE$3:$AH$38,3,0)</f>
        <v/>
      </c>
      <c r="B75" s="362" t="str">
        <f>IF(AND($A75&lt;&gt;"",$A76=""),Request!$F$16,"")</f>
        <v/>
      </c>
      <c r="C75" s="451" t="str">
        <f>VLOOKUP($S75,Expenses!$AE$3:$AH$38,4,0)</f>
        <v/>
      </c>
      <c r="D75" s="452"/>
      <c r="E75" s="453"/>
      <c r="F75" s="267">
        <f t="shared" ref="F75:F94" si="13">IFERROR(MROUND(H75/$H$13,0.1),0)</f>
        <v>0</v>
      </c>
      <c r="G75" s="363"/>
      <c r="H75" s="274">
        <f t="shared" ref="H75:H94" si="14">IF($A75="",0,SUMPRODUCT(($A75=Date)*($C75=City__State)*(Category=F$16)*(Total)))</f>
        <v>0</v>
      </c>
      <c r="I75" s="269">
        <f t="shared" si="12"/>
        <v>0</v>
      </c>
      <c r="J75" s="270">
        <f t="shared" si="12"/>
        <v>0</v>
      </c>
      <c r="K75" s="270">
        <f t="shared" si="12"/>
        <v>0</v>
      </c>
      <c r="L75" s="275">
        <f t="shared" si="12"/>
        <v>0</v>
      </c>
      <c r="M75" s="275">
        <f t="shared" si="12"/>
        <v>0</v>
      </c>
      <c r="N75" s="276">
        <f t="shared" si="12"/>
        <v>0</v>
      </c>
      <c r="O75" s="270">
        <f t="shared" ref="O75:O94" si="15">IF(M75&gt;N75,M75-N75,0)</f>
        <v>0</v>
      </c>
      <c r="P75" s="277">
        <f t="shared" ref="P75:P94" si="16">SUM(H75:M75)</f>
        <v>0</v>
      </c>
      <c r="R75" s="72">
        <v>15</v>
      </c>
      <c r="S75" s="222" t="str">
        <f>IFERROR(SMALL(Expenses!$AE$3:$AE$38,R75),"")</f>
        <v/>
      </c>
    </row>
    <row r="76" spans="1:24" x14ac:dyDescent="0.15">
      <c r="A76" s="361" t="str">
        <f>VLOOKUP(S76,Expenses!$AE$3:$AH$38,3,0)</f>
        <v/>
      </c>
      <c r="B76" s="362" t="str">
        <f>IF(AND($A76&lt;&gt;"",$A77=""),Request!$F$16,"")</f>
        <v/>
      </c>
      <c r="C76" s="451" t="str">
        <f>VLOOKUP($S76,Expenses!$AE$3:$AH$38,4,0)</f>
        <v/>
      </c>
      <c r="D76" s="452"/>
      <c r="E76" s="453"/>
      <c r="F76" s="267">
        <f t="shared" si="13"/>
        <v>0</v>
      </c>
      <c r="G76" s="363"/>
      <c r="H76" s="274">
        <f t="shared" si="14"/>
        <v>0</v>
      </c>
      <c r="I76" s="269">
        <f t="shared" si="12"/>
        <v>0</v>
      </c>
      <c r="J76" s="270">
        <f t="shared" si="12"/>
        <v>0</v>
      </c>
      <c r="K76" s="270">
        <f t="shared" si="12"/>
        <v>0</v>
      </c>
      <c r="L76" s="275">
        <f t="shared" si="12"/>
        <v>0</v>
      </c>
      <c r="M76" s="275">
        <f t="shared" si="12"/>
        <v>0</v>
      </c>
      <c r="N76" s="276">
        <f t="shared" si="12"/>
        <v>0</v>
      </c>
      <c r="O76" s="270">
        <f t="shared" si="15"/>
        <v>0</v>
      </c>
      <c r="P76" s="277">
        <f t="shared" si="16"/>
        <v>0</v>
      </c>
      <c r="R76" s="72">
        <v>16</v>
      </c>
      <c r="S76" s="222" t="str">
        <f>IFERROR(SMALL(Expenses!$AE$3:$AE$38,R76),"")</f>
        <v/>
      </c>
    </row>
    <row r="77" spans="1:24" x14ac:dyDescent="0.15">
      <c r="A77" s="361" t="str">
        <f>VLOOKUP(S77,Expenses!$AE$3:$AH$38,3,0)</f>
        <v/>
      </c>
      <c r="B77" s="362" t="str">
        <f>IF(AND($A77&lt;&gt;"",$A78=""),Request!$F$16,"")</f>
        <v/>
      </c>
      <c r="C77" s="451" t="str">
        <f>VLOOKUP($S77,Expenses!$AE$3:$AH$38,4,0)</f>
        <v/>
      </c>
      <c r="D77" s="452"/>
      <c r="E77" s="453"/>
      <c r="F77" s="267">
        <f t="shared" si="13"/>
        <v>0</v>
      </c>
      <c r="G77" s="363"/>
      <c r="H77" s="274">
        <f t="shared" si="14"/>
        <v>0</v>
      </c>
      <c r="I77" s="269">
        <f t="shared" si="12"/>
        <v>0</v>
      </c>
      <c r="J77" s="270">
        <f t="shared" si="12"/>
        <v>0</v>
      </c>
      <c r="K77" s="270">
        <f t="shared" si="12"/>
        <v>0</v>
      </c>
      <c r="L77" s="275">
        <f t="shared" si="12"/>
        <v>0</v>
      </c>
      <c r="M77" s="275">
        <f t="shared" si="12"/>
        <v>0</v>
      </c>
      <c r="N77" s="276">
        <f t="shared" si="12"/>
        <v>0</v>
      </c>
      <c r="O77" s="270">
        <f t="shared" si="15"/>
        <v>0</v>
      </c>
      <c r="P77" s="277">
        <f t="shared" si="16"/>
        <v>0</v>
      </c>
      <c r="R77" s="72">
        <v>17</v>
      </c>
      <c r="S77" s="222" t="str">
        <f>IFERROR(SMALL(Expenses!$AE$3:$AE$38,R77),"")</f>
        <v/>
      </c>
    </row>
    <row r="78" spans="1:24" x14ac:dyDescent="0.15">
      <c r="A78" s="361" t="str">
        <f>VLOOKUP(S78,Expenses!$AE$3:$AH$38,3,0)</f>
        <v/>
      </c>
      <c r="B78" s="362" t="str">
        <f>IF(AND($A78&lt;&gt;"",$A79=""),Request!$F$16,"")</f>
        <v/>
      </c>
      <c r="C78" s="451" t="str">
        <f>VLOOKUP($S78,Expenses!$AE$3:$AH$38,4,0)</f>
        <v/>
      </c>
      <c r="D78" s="452"/>
      <c r="E78" s="453"/>
      <c r="F78" s="267">
        <f t="shared" si="13"/>
        <v>0</v>
      </c>
      <c r="G78" s="363"/>
      <c r="H78" s="274">
        <f t="shared" si="14"/>
        <v>0</v>
      </c>
      <c r="I78" s="269">
        <f t="shared" si="12"/>
        <v>0</v>
      </c>
      <c r="J78" s="270">
        <f t="shared" si="12"/>
        <v>0</v>
      </c>
      <c r="K78" s="270">
        <f t="shared" si="12"/>
        <v>0</v>
      </c>
      <c r="L78" s="275">
        <f t="shared" si="12"/>
        <v>0</v>
      </c>
      <c r="M78" s="275">
        <f t="shared" si="12"/>
        <v>0</v>
      </c>
      <c r="N78" s="276">
        <f t="shared" si="12"/>
        <v>0</v>
      </c>
      <c r="O78" s="270">
        <f t="shared" si="15"/>
        <v>0</v>
      </c>
      <c r="P78" s="277">
        <f t="shared" si="16"/>
        <v>0</v>
      </c>
      <c r="R78" s="72">
        <v>18</v>
      </c>
      <c r="S78" s="222" t="str">
        <f>IFERROR(SMALL(Expenses!$AE$3:$AE$38,R78),"")</f>
        <v/>
      </c>
    </row>
    <row r="79" spans="1:24" x14ac:dyDescent="0.15">
      <c r="A79" s="361" t="str">
        <f>VLOOKUP(S79,Expenses!$AE$3:$AH$38,3,0)</f>
        <v/>
      </c>
      <c r="B79" s="362" t="str">
        <f>IF(AND($A79&lt;&gt;"",$A80=""),Request!$F$16,"")</f>
        <v/>
      </c>
      <c r="C79" s="451" t="str">
        <f>VLOOKUP($S79,Expenses!$AE$3:$AH$38,4,0)</f>
        <v/>
      </c>
      <c r="D79" s="452"/>
      <c r="E79" s="453"/>
      <c r="F79" s="267">
        <f t="shared" si="13"/>
        <v>0</v>
      </c>
      <c r="G79" s="363"/>
      <c r="H79" s="274">
        <f t="shared" si="14"/>
        <v>0</v>
      </c>
      <c r="I79" s="269">
        <f t="shared" si="12"/>
        <v>0</v>
      </c>
      <c r="J79" s="270">
        <f t="shared" si="12"/>
        <v>0</v>
      </c>
      <c r="K79" s="270">
        <f t="shared" si="12"/>
        <v>0</v>
      </c>
      <c r="L79" s="275">
        <f t="shared" si="12"/>
        <v>0</v>
      </c>
      <c r="M79" s="275">
        <f t="shared" si="12"/>
        <v>0</v>
      </c>
      <c r="N79" s="276">
        <f t="shared" si="12"/>
        <v>0</v>
      </c>
      <c r="O79" s="270">
        <f t="shared" si="15"/>
        <v>0</v>
      </c>
      <c r="P79" s="277">
        <f t="shared" si="16"/>
        <v>0</v>
      </c>
      <c r="R79" s="72">
        <v>19</v>
      </c>
      <c r="S79" s="222" t="str">
        <f>IFERROR(SMALL(Expenses!$AE$3:$AE$38,R79),"")</f>
        <v/>
      </c>
    </row>
    <row r="80" spans="1:24" x14ac:dyDescent="0.15">
      <c r="A80" s="361" t="str">
        <f>VLOOKUP(S80,Expenses!$AE$3:$AH$38,3,0)</f>
        <v/>
      </c>
      <c r="B80" s="362" t="str">
        <f>IF(AND($A80&lt;&gt;"",$A81=""),Request!$F$16,"")</f>
        <v/>
      </c>
      <c r="C80" s="451" t="str">
        <f>VLOOKUP($S80,Expenses!$AE$3:$AH$38,4,0)</f>
        <v/>
      </c>
      <c r="D80" s="452"/>
      <c r="E80" s="453"/>
      <c r="F80" s="267">
        <f t="shared" si="13"/>
        <v>0</v>
      </c>
      <c r="G80" s="363"/>
      <c r="H80" s="274">
        <f t="shared" si="14"/>
        <v>0</v>
      </c>
      <c r="I80" s="269">
        <f t="shared" si="12"/>
        <v>0</v>
      </c>
      <c r="J80" s="270">
        <f t="shared" si="12"/>
        <v>0</v>
      </c>
      <c r="K80" s="270">
        <f t="shared" si="12"/>
        <v>0</v>
      </c>
      <c r="L80" s="275">
        <f t="shared" si="12"/>
        <v>0</v>
      </c>
      <c r="M80" s="275">
        <f t="shared" si="12"/>
        <v>0</v>
      </c>
      <c r="N80" s="276">
        <f t="shared" si="12"/>
        <v>0</v>
      </c>
      <c r="O80" s="270">
        <f t="shared" si="15"/>
        <v>0</v>
      </c>
      <c r="P80" s="277">
        <f t="shared" si="16"/>
        <v>0</v>
      </c>
      <c r="R80" s="72">
        <v>20</v>
      </c>
      <c r="S80" s="222" t="str">
        <f>IFERROR(SMALL(Expenses!$AE$3:$AE$38,R80),"")</f>
        <v/>
      </c>
    </row>
    <row r="81" spans="1:19" x14ac:dyDescent="0.15">
      <c r="A81" s="361" t="str">
        <f>VLOOKUP(S81,Expenses!$AE$3:$AH$38,3,0)</f>
        <v/>
      </c>
      <c r="B81" s="362" t="str">
        <f>IF(AND($A81&lt;&gt;"",$A82=""),Request!$F$16,"")</f>
        <v/>
      </c>
      <c r="C81" s="451" t="str">
        <f>VLOOKUP($S81,Expenses!$AE$3:$AH$38,4,0)</f>
        <v/>
      </c>
      <c r="D81" s="452"/>
      <c r="E81" s="453"/>
      <c r="F81" s="267">
        <f t="shared" si="13"/>
        <v>0</v>
      </c>
      <c r="G81" s="363"/>
      <c r="H81" s="274">
        <f t="shared" si="14"/>
        <v>0</v>
      </c>
      <c r="I81" s="269">
        <f t="shared" si="12"/>
        <v>0</v>
      </c>
      <c r="J81" s="270">
        <f t="shared" si="12"/>
        <v>0</v>
      </c>
      <c r="K81" s="270">
        <f t="shared" si="12"/>
        <v>0</v>
      </c>
      <c r="L81" s="275">
        <f t="shared" si="12"/>
        <v>0</v>
      </c>
      <c r="M81" s="275">
        <f t="shared" si="12"/>
        <v>0</v>
      </c>
      <c r="N81" s="276">
        <f t="shared" si="12"/>
        <v>0</v>
      </c>
      <c r="O81" s="270">
        <f>IF(M81&gt;N81,M81-N81,0)</f>
        <v>0</v>
      </c>
      <c r="P81" s="277">
        <f>SUM(H81:M81)</f>
        <v>0</v>
      </c>
      <c r="R81" s="72">
        <v>21</v>
      </c>
      <c r="S81" s="222" t="str">
        <f>IFERROR(SMALL(Expenses!$AE$3:$AE$38,R81),"")</f>
        <v/>
      </c>
    </row>
    <row r="82" spans="1:19" x14ac:dyDescent="0.15">
      <c r="A82" s="361" t="str">
        <f>VLOOKUP(S82,Expenses!$AE$3:$AH$38,3,0)</f>
        <v/>
      </c>
      <c r="B82" s="362" t="str">
        <f>IF(AND($A82&lt;&gt;"",$A83=""),Request!$F$16,"")</f>
        <v/>
      </c>
      <c r="C82" s="451" t="str">
        <f>VLOOKUP($S82,Expenses!$AE$3:$AH$38,4,0)</f>
        <v/>
      </c>
      <c r="D82" s="452"/>
      <c r="E82" s="453"/>
      <c r="F82" s="267">
        <f t="shared" si="13"/>
        <v>0</v>
      </c>
      <c r="G82" s="363"/>
      <c r="H82" s="274">
        <f t="shared" si="14"/>
        <v>0</v>
      </c>
      <c r="I82" s="269">
        <f t="shared" si="12"/>
        <v>0</v>
      </c>
      <c r="J82" s="270">
        <f t="shared" si="12"/>
        <v>0</v>
      </c>
      <c r="K82" s="270">
        <f t="shared" si="12"/>
        <v>0</v>
      </c>
      <c r="L82" s="275">
        <f t="shared" si="12"/>
        <v>0</v>
      </c>
      <c r="M82" s="275">
        <f t="shared" si="12"/>
        <v>0</v>
      </c>
      <c r="N82" s="276">
        <f t="shared" si="12"/>
        <v>0</v>
      </c>
      <c r="O82" s="270">
        <f>IF(M82&gt;N82,M82-N82,0)</f>
        <v>0</v>
      </c>
      <c r="P82" s="277">
        <f>SUM(H82:M82)</f>
        <v>0</v>
      </c>
      <c r="R82" s="72">
        <v>22</v>
      </c>
      <c r="S82" s="222" t="str">
        <f>IFERROR(SMALL(Expenses!$AE$3:$AE$38,R82),"")</f>
        <v/>
      </c>
    </row>
    <row r="83" spans="1:19" x14ac:dyDescent="0.15">
      <c r="A83" s="361" t="str">
        <f>VLOOKUP(S83,Expenses!$AE$3:$AH$38,3,0)</f>
        <v/>
      </c>
      <c r="B83" s="362" t="str">
        <f>IF(AND($A83&lt;&gt;"",$A84=""),Request!$F$16,"")</f>
        <v/>
      </c>
      <c r="C83" s="451" t="str">
        <f>VLOOKUP($S83,Expenses!$AE$3:$AH$38,4,0)</f>
        <v/>
      </c>
      <c r="D83" s="452"/>
      <c r="E83" s="453"/>
      <c r="F83" s="267">
        <f t="shared" si="13"/>
        <v>0</v>
      </c>
      <c r="G83" s="363"/>
      <c r="H83" s="274">
        <f t="shared" si="14"/>
        <v>0</v>
      </c>
      <c r="I83" s="269">
        <f t="shared" si="12"/>
        <v>0</v>
      </c>
      <c r="J83" s="270">
        <f t="shared" si="12"/>
        <v>0</v>
      </c>
      <c r="K83" s="270">
        <f t="shared" si="12"/>
        <v>0</v>
      </c>
      <c r="L83" s="275">
        <f t="shared" si="12"/>
        <v>0</v>
      </c>
      <c r="M83" s="275">
        <f t="shared" si="12"/>
        <v>0</v>
      </c>
      <c r="N83" s="276">
        <f t="shared" si="12"/>
        <v>0</v>
      </c>
      <c r="O83" s="270">
        <f t="shared" si="15"/>
        <v>0</v>
      </c>
      <c r="P83" s="277">
        <f t="shared" si="16"/>
        <v>0</v>
      </c>
      <c r="R83" s="72">
        <v>23</v>
      </c>
      <c r="S83" s="222" t="str">
        <f>IFERROR(SMALL(Expenses!$AE$3:$AE$38,R83),"")</f>
        <v/>
      </c>
    </row>
    <row r="84" spans="1:19" x14ac:dyDescent="0.15">
      <c r="A84" s="361" t="str">
        <f>VLOOKUP(S84,Expenses!$AE$3:$AH$38,3,0)</f>
        <v/>
      </c>
      <c r="B84" s="362" t="str">
        <f>IF(AND($A84&lt;&gt;"",$A85=""),Request!$F$16,"")</f>
        <v/>
      </c>
      <c r="C84" s="451" t="str">
        <f>VLOOKUP($S84,Expenses!$AE$3:$AH$38,4,0)</f>
        <v/>
      </c>
      <c r="D84" s="452"/>
      <c r="E84" s="453"/>
      <c r="F84" s="267">
        <f t="shared" si="13"/>
        <v>0</v>
      </c>
      <c r="G84" s="363"/>
      <c r="H84" s="274">
        <f t="shared" si="14"/>
        <v>0</v>
      </c>
      <c r="I84" s="269">
        <f t="shared" si="12"/>
        <v>0</v>
      </c>
      <c r="J84" s="270">
        <f t="shared" si="12"/>
        <v>0</v>
      </c>
      <c r="K84" s="270">
        <f t="shared" si="12"/>
        <v>0</v>
      </c>
      <c r="L84" s="275">
        <f t="shared" si="12"/>
        <v>0</v>
      </c>
      <c r="M84" s="275">
        <f t="shared" si="12"/>
        <v>0</v>
      </c>
      <c r="N84" s="276">
        <f t="shared" si="12"/>
        <v>0</v>
      </c>
      <c r="O84" s="270">
        <f t="shared" si="15"/>
        <v>0</v>
      </c>
      <c r="P84" s="277">
        <f t="shared" si="16"/>
        <v>0</v>
      </c>
      <c r="R84" s="72">
        <v>24</v>
      </c>
      <c r="S84" s="222" t="str">
        <f>IFERROR(SMALL(Expenses!$AE$3:$AE$38,R84),"")</f>
        <v/>
      </c>
    </row>
    <row r="85" spans="1:19" x14ac:dyDescent="0.15">
      <c r="A85" s="361" t="str">
        <f>VLOOKUP(S85,Expenses!$AE$3:$AH$38,3,0)</f>
        <v/>
      </c>
      <c r="B85" s="362" t="str">
        <f>IF(AND($A85&lt;&gt;"",$A86=""),Request!$F$16,"")</f>
        <v/>
      </c>
      <c r="C85" s="451" t="str">
        <f>VLOOKUP($S85,Expenses!$AE$3:$AH$38,4,0)</f>
        <v/>
      </c>
      <c r="D85" s="452"/>
      <c r="E85" s="453"/>
      <c r="F85" s="267">
        <f t="shared" si="13"/>
        <v>0</v>
      </c>
      <c r="G85" s="363"/>
      <c r="H85" s="274">
        <f t="shared" si="14"/>
        <v>0</v>
      </c>
      <c r="I85" s="269">
        <f t="shared" si="12"/>
        <v>0</v>
      </c>
      <c r="J85" s="270">
        <f t="shared" si="12"/>
        <v>0</v>
      </c>
      <c r="K85" s="270">
        <f t="shared" si="12"/>
        <v>0</v>
      </c>
      <c r="L85" s="275">
        <f t="shared" si="12"/>
        <v>0</v>
      </c>
      <c r="M85" s="275">
        <f t="shared" si="12"/>
        <v>0</v>
      </c>
      <c r="N85" s="276">
        <f t="shared" si="12"/>
        <v>0</v>
      </c>
      <c r="O85" s="270">
        <f t="shared" si="15"/>
        <v>0</v>
      </c>
      <c r="P85" s="277">
        <f t="shared" si="16"/>
        <v>0</v>
      </c>
      <c r="R85" s="72">
        <v>25</v>
      </c>
      <c r="S85" s="222" t="str">
        <f>IFERROR(SMALL(Expenses!$AE$3:$AE$38,R85),"")</f>
        <v/>
      </c>
    </row>
    <row r="86" spans="1:19" x14ac:dyDescent="0.15">
      <c r="A86" s="361" t="str">
        <f>VLOOKUP(S86,Expenses!$AE$3:$AH$38,3,0)</f>
        <v/>
      </c>
      <c r="B86" s="362" t="str">
        <f>IF(AND($A86&lt;&gt;"",$A87=""),Request!$F$16,"")</f>
        <v/>
      </c>
      <c r="C86" s="451" t="str">
        <f>VLOOKUP($S86,Expenses!$AE$3:$AH$38,4,0)</f>
        <v/>
      </c>
      <c r="D86" s="452"/>
      <c r="E86" s="453"/>
      <c r="F86" s="267">
        <f t="shared" si="13"/>
        <v>0</v>
      </c>
      <c r="G86" s="363"/>
      <c r="H86" s="274">
        <f t="shared" si="14"/>
        <v>0</v>
      </c>
      <c r="I86" s="269">
        <f t="shared" si="12"/>
        <v>0</v>
      </c>
      <c r="J86" s="270">
        <f t="shared" si="12"/>
        <v>0</v>
      </c>
      <c r="K86" s="270">
        <f t="shared" si="12"/>
        <v>0</v>
      </c>
      <c r="L86" s="275">
        <f t="shared" si="12"/>
        <v>0</v>
      </c>
      <c r="M86" s="275">
        <f t="shared" si="12"/>
        <v>0</v>
      </c>
      <c r="N86" s="276">
        <f t="shared" si="12"/>
        <v>0</v>
      </c>
      <c r="O86" s="270">
        <f t="shared" si="15"/>
        <v>0</v>
      </c>
      <c r="P86" s="277">
        <f t="shared" si="16"/>
        <v>0</v>
      </c>
      <c r="R86" s="72">
        <v>26</v>
      </c>
      <c r="S86" s="222" t="str">
        <f>IFERROR(SMALL(Expenses!$AE$3:$AE$38,R86),"")</f>
        <v/>
      </c>
    </row>
    <row r="87" spans="1:19" x14ac:dyDescent="0.15">
      <c r="A87" s="361" t="str">
        <f>VLOOKUP(S87,Expenses!$AE$3:$AH$38,3,0)</f>
        <v/>
      </c>
      <c r="B87" s="362" t="str">
        <f>IF(AND($A87&lt;&gt;"",$A88=""),Request!$F$16,"")</f>
        <v/>
      </c>
      <c r="C87" s="451" t="str">
        <f>VLOOKUP($S87,Expenses!$AE$3:$AH$38,4,0)</f>
        <v/>
      </c>
      <c r="D87" s="452"/>
      <c r="E87" s="453"/>
      <c r="F87" s="267">
        <f t="shared" si="13"/>
        <v>0</v>
      </c>
      <c r="G87" s="363"/>
      <c r="H87" s="274">
        <f t="shared" si="14"/>
        <v>0</v>
      </c>
      <c r="I87" s="269">
        <f t="shared" si="12"/>
        <v>0</v>
      </c>
      <c r="J87" s="270">
        <f t="shared" si="12"/>
        <v>0</v>
      </c>
      <c r="K87" s="270">
        <f t="shared" si="12"/>
        <v>0</v>
      </c>
      <c r="L87" s="275">
        <f t="shared" si="12"/>
        <v>0</v>
      </c>
      <c r="M87" s="275">
        <f t="shared" si="12"/>
        <v>0</v>
      </c>
      <c r="N87" s="276">
        <f t="shared" si="12"/>
        <v>0</v>
      </c>
      <c r="O87" s="270">
        <f t="shared" si="15"/>
        <v>0</v>
      </c>
      <c r="P87" s="277">
        <f t="shared" si="16"/>
        <v>0</v>
      </c>
      <c r="R87" s="72">
        <v>27</v>
      </c>
      <c r="S87" s="222" t="str">
        <f>IFERROR(SMALL(Expenses!$AE$3:$AE$38,R87),"")</f>
        <v/>
      </c>
    </row>
    <row r="88" spans="1:19" x14ac:dyDescent="0.15">
      <c r="A88" s="361" t="str">
        <f>VLOOKUP(S88,Expenses!$AE$3:$AH$38,3,0)</f>
        <v/>
      </c>
      <c r="B88" s="362" t="str">
        <f>IF(AND($A88&lt;&gt;"",$A89=""),Request!$F$16,"")</f>
        <v/>
      </c>
      <c r="C88" s="451" t="str">
        <f>VLOOKUP($S88,Expenses!$AE$3:$AH$38,4,0)</f>
        <v/>
      </c>
      <c r="D88" s="452"/>
      <c r="E88" s="453"/>
      <c r="F88" s="267">
        <f t="shared" si="13"/>
        <v>0</v>
      </c>
      <c r="G88" s="363"/>
      <c r="H88" s="274">
        <f t="shared" si="14"/>
        <v>0</v>
      </c>
      <c r="I88" s="269">
        <f t="shared" si="12"/>
        <v>0</v>
      </c>
      <c r="J88" s="270">
        <f t="shared" si="12"/>
        <v>0</v>
      </c>
      <c r="K88" s="270">
        <f t="shared" si="12"/>
        <v>0</v>
      </c>
      <c r="L88" s="275">
        <f t="shared" si="12"/>
        <v>0</v>
      </c>
      <c r="M88" s="275">
        <f t="shared" si="12"/>
        <v>0</v>
      </c>
      <c r="N88" s="276">
        <f t="shared" si="12"/>
        <v>0</v>
      </c>
      <c r="O88" s="270">
        <f t="shared" si="15"/>
        <v>0</v>
      </c>
      <c r="P88" s="277">
        <f t="shared" si="16"/>
        <v>0</v>
      </c>
      <c r="R88" s="72">
        <v>28</v>
      </c>
      <c r="S88" s="222" t="str">
        <f>IFERROR(SMALL(Expenses!$AE$3:$AE$38,R88),"")</f>
        <v/>
      </c>
    </row>
    <row r="89" spans="1:19" x14ac:dyDescent="0.15">
      <c r="A89" s="361" t="str">
        <f>VLOOKUP(S89,Expenses!$AE$3:$AH$38,3,0)</f>
        <v/>
      </c>
      <c r="B89" s="362" t="str">
        <f>IF(AND($A89&lt;&gt;"",$A90=""),Request!$F$16,"")</f>
        <v/>
      </c>
      <c r="C89" s="451" t="str">
        <f>VLOOKUP($S89,Expenses!$AE$3:$AH$38,4,0)</f>
        <v/>
      </c>
      <c r="D89" s="452"/>
      <c r="E89" s="453"/>
      <c r="F89" s="267">
        <f t="shared" si="13"/>
        <v>0</v>
      </c>
      <c r="G89" s="363"/>
      <c r="H89" s="274">
        <f t="shared" si="14"/>
        <v>0</v>
      </c>
      <c r="I89" s="269">
        <f t="shared" si="12"/>
        <v>0</v>
      </c>
      <c r="J89" s="270">
        <f t="shared" si="12"/>
        <v>0</v>
      </c>
      <c r="K89" s="270">
        <f t="shared" si="12"/>
        <v>0</v>
      </c>
      <c r="L89" s="275">
        <f t="shared" si="12"/>
        <v>0</v>
      </c>
      <c r="M89" s="275">
        <f t="shared" si="12"/>
        <v>0</v>
      </c>
      <c r="N89" s="276">
        <f t="shared" si="12"/>
        <v>0</v>
      </c>
      <c r="O89" s="270">
        <f t="shared" si="15"/>
        <v>0</v>
      </c>
      <c r="P89" s="277">
        <f t="shared" si="16"/>
        <v>0</v>
      </c>
      <c r="R89" s="72">
        <v>29</v>
      </c>
      <c r="S89" s="222" t="str">
        <f>IFERROR(SMALL(Expenses!$AE$3:$AE$38,R89),"")</f>
        <v/>
      </c>
    </row>
    <row r="90" spans="1:19" x14ac:dyDescent="0.15">
      <c r="A90" s="361" t="str">
        <f>VLOOKUP(S90,Expenses!$AE$3:$AH$38,3,0)</f>
        <v/>
      </c>
      <c r="B90" s="362" t="str">
        <f>IF(AND($A90&lt;&gt;"",$A91=""),Request!$F$16,"")</f>
        <v/>
      </c>
      <c r="C90" s="451" t="str">
        <f>VLOOKUP($S90,Expenses!$AE$3:$AH$38,4,0)</f>
        <v/>
      </c>
      <c r="D90" s="452"/>
      <c r="E90" s="453"/>
      <c r="F90" s="267">
        <f t="shared" si="13"/>
        <v>0</v>
      </c>
      <c r="G90" s="363"/>
      <c r="H90" s="274">
        <f t="shared" si="14"/>
        <v>0</v>
      </c>
      <c r="I90" s="269">
        <f t="shared" ref="I90:N94" si="17">IF($A90="",0,SUMPRODUCT(($A90=Date)*($C90=City__State)*(Category=I$16)*(Total)))</f>
        <v>0</v>
      </c>
      <c r="J90" s="270">
        <f t="shared" si="17"/>
        <v>0</v>
      </c>
      <c r="K90" s="270">
        <f t="shared" si="17"/>
        <v>0</v>
      </c>
      <c r="L90" s="275">
        <f t="shared" si="17"/>
        <v>0</v>
      </c>
      <c r="M90" s="275">
        <f t="shared" si="17"/>
        <v>0</v>
      </c>
      <c r="N90" s="276">
        <f t="shared" si="17"/>
        <v>0</v>
      </c>
      <c r="O90" s="270">
        <f t="shared" si="15"/>
        <v>0</v>
      </c>
      <c r="P90" s="277">
        <f t="shared" si="16"/>
        <v>0</v>
      </c>
      <c r="R90" s="72">
        <v>30</v>
      </c>
      <c r="S90" s="222" t="str">
        <f>IFERROR(SMALL(Expenses!$AE$3:$AE$38,R90),"")</f>
        <v/>
      </c>
    </row>
    <row r="91" spans="1:19" x14ac:dyDescent="0.15">
      <c r="A91" s="361" t="str">
        <f>VLOOKUP(S91,Expenses!$AE$3:$AH$38,3,0)</f>
        <v/>
      </c>
      <c r="B91" s="362" t="str">
        <f>IF(AND($A91&lt;&gt;"",$A92=""),Request!$F$16,"")</f>
        <v/>
      </c>
      <c r="C91" s="451" t="str">
        <f>VLOOKUP($S91,Expenses!$AE$3:$AH$38,4,0)</f>
        <v/>
      </c>
      <c r="D91" s="452"/>
      <c r="E91" s="453"/>
      <c r="F91" s="267">
        <f t="shared" si="13"/>
        <v>0</v>
      </c>
      <c r="G91" s="363"/>
      <c r="H91" s="274">
        <f t="shared" si="14"/>
        <v>0</v>
      </c>
      <c r="I91" s="269">
        <f t="shared" si="17"/>
        <v>0</v>
      </c>
      <c r="J91" s="270">
        <f t="shared" si="17"/>
        <v>0</v>
      </c>
      <c r="K91" s="270">
        <f t="shared" si="17"/>
        <v>0</v>
      </c>
      <c r="L91" s="275">
        <f t="shared" si="17"/>
        <v>0</v>
      </c>
      <c r="M91" s="275">
        <f t="shared" si="17"/>
        <v>0</v>
      </c>
      <c r="N91" s="276">
        <f t="shared" si="17"/>
        <v>0</v>
      </c>
      <c r="O91" s="270">
        <f t="shared" si="15"/>
        <v>0</v>
      </c>
      <c r="P91" s="277">
        <f t="shared" si="16"/>
        <v>0</v>
      </c>
      <c r="R91" s="72">
        <v>31</v>
      </c>
      <c r="S91" s="222" t="str">
        <f>IFERROR(SMALL(Expenses!$AE$3:$AE$38,R91),"")</f>
        <v/>
      </c>
    </row>
    <row r="92" spans="1:19" x14ac:dyDescent="0.15">
      <c r="A92" s="361" t="str">
        <f>VLOOKUP(S92,Expenses!$AE$3:$AH$38,3,0)</f>
        <v/>
      </c>
      <c r="B92" s="362" t="str">
        <f>IF(AND($A92&lt;&gt;"",$A93=""),Request!$F$16,"")</f>
        <v/>
      </c>
      <c r="C92" s="451" t="str">
        <f>VLOOKUP($S92,Expenses!$AE$3:$AH$38,4,0)</f>
        <v/>
      </c>
      <c r="D92" s="452"/>
      <c r="E92" s="453"/>
      <c r="F92" s="267">
        <f t="shared" si="13"/>
        <v>0</v>
      </c>
      <c r="G92" s="363"/>
      <c r="H92" s="274">
        <f t="shared" si="14"/>
        <v>0</v>
      </c>
      <c r="I92" s="269">
        <f t="shared" si="17"/>
        <v>0</v>
      </c>
      <c r="J92" s="270">
        <f t="shared" si="17"/>
        <v>0</v>
      </c>
      <c r="K92" s="270">
        <f t="shared" si="17"/>
        <v>0</v>
      </c>
      <c r="L92" s="275">
        <f t="shared" si="17"/>
        <v>0</v>
      </c>
      <c r="M92" s="275">
        <f t="shared" si="17"/>
        <v>0</v>
      </c>
      <c r="N92" s="276">
        <f t="shared" si="17"/>
        <v>0</v>
      </c>
      <c r="O92" s="270">
        <f t="shared" si="15"/>
        <v>0</v>
      </c>
      <c r="P92" s="277">
        <f t="shared" si="16"/>
        <v>0</v>
      </c>
      <c r="R92" s="72">
        <v>32</v>
      </c>
      <c r="S92" s="222" t="str">
        <f>IFERROR(SMALL(Expenses!$AE$3:$AE$38,R92),"")</f>
        <v/>
      </c>
    </row>
    <row r="93" spans="1:19" x14ac:dyDescent="0.15">
      <c r="A93" s="361" t="str">
        <f>VLOOKUP(S93,Expenses!$AE$3:$AH$38,3,0)</f>
        <v/>
      </c>
      <c r="B93" s="362" t="str">
        <f>IF(AND($A93&lt;&gt;"",$A94=""),Request!$F$16,"")</f>
        <v/>
      </c>
      <c r="C93" s="451" t="str">
        <f>VLOOKUP($S93,Expenses!$AE$3:$AH$38,4,0)</f>
        <v/>
      </c>
      <c r="D93" s="452"/>
      <c r="E93" s="453"/>
      <c r="F93" s="267">
        <f t="shared" si="13"/>
        <v>0</v>
      </c>
      <c r="G93" s="363"/>
      <c r="H93" s="274">
        <f t="shared" si="14"/>
        <v>0</v>
      </c>
      <c r="I93" s="269">
        <f t="shared" si="17"/>
        <v>0</v>
      </c>
      <c r="J93" s="270">
        <f t="shared" si="17"/>
        <v>0</v>
      </c>
      <c r="K93" s="270">
        <f t="shared" si="17"/>
        <v>0</v>
      </c>
      <c r="L93" s="275">
        <f t="shared" si="17"/>
        <v>0</v>
      </c>
      <c r="M93" s="275">
        <f t="shared" si="17"/>
        <v>0</v>
      </c>
      <c r="N93" s="276">
        <f t="shared" si="17"/>
        <v>0</v>
      </c>
      <c r="O93" s="270">
        <f t="shared" si="15"/>
        <v>0</v>
      </c>
      <c r="P93" s="277">
        <f t="shared" si="16"/>
        <v>0</v>
      </c>
      <c r="R93" s="72">
        <v>33</v>
      </c>
      <c r="S93" s="222" t="str">
        <f>IFERROR(SMALL(Expenses!$AE$3:$AE$38,R93),"")</f>
        <v/>
      </c>
    </row>
    <row r="94" spans="1:19" ht="14" thickBot="1" x14ac:dyDescent="0.2">
      <c r="A94" s="364" t="str">
        <f>VLOOKUP(S94,Expenses!$AE$3:$AH$38,3,0)</f>
        <v/>
      </c>
      <c r="B94" s="365" t="str">
        <f>IF(AND($A94&lt;&gt;"",$A95=""),Request!$F$16,"")</f>
        <v/>
      </c>
      <c r="C94" s="451" t="str">
        <f>VLOOKUP($S94,Expenses!$AE$3:$AH$38,4,0)</f>
        <v/>
      </c>
      <c r="D94" s="452"/>
      <c r="E94" s="453"/>
      <c r="F94" s="281">
        <f t="shared" si="13"/>
        <v>0</v>
      </c>
      <c r="G94" s="363"/>
      <c r="H94" s="366">
        <f t="shared" si="14"/>
        <v>0</v>
      </c>
      <c r="I94" s="283">
        <f t="shared" si="17"/>
        <v>0</v>
      </c>
      <c r="J94" s="284">
        <f t="shared" si="17"/>
        <v>0</v>
      </c>
      <c r="K94" s="284">
        <f t="shared" si="17"/>
        <v>0</v>
      </c>
      <c r="L94" s="367">
        <f t="shared" si="17"/>
        <v>0</v>
      </c>
      <c r="M94" s="367">
        <f t="shared" si="17"/>
        <v>0</v>
      </c>
      <c r="N94" s="368">
        <f t="shared" si="17"/>
        <v>0</v>
      </c>
      <c r="O94" s="284">
        <f t="shared" si="15"/>
        <v>0</v>
      </c>
      <c r="P94" s="369">
        <f t="shared" si="16"/>
        <v>0</v>
      </c>
      <c r="R94" s="72">
        <v>34</v>
      </c>
      <c r="S94" s="222" t="str">
        <f>IFERROR(SMALL(Expenses!$AE$3:$AE$38,R94),"")</f>
        <v/>
      </c>
    </row>
    <row r="95" spans="1:19" ht="14" thickBot="1" x14ac:dyDescent="0.2">
      <c r="A95" s="370"/>
      <c r="B95" s="371"/>
      <c r="C95" s="372" t="s">
        <v>331</v>
      </c>
      <c r="D95" s="371"/>
      <c r="E95" s="371"/>
      <c r="F95" s="244">
        <f>ROUND(SUM(F74:F94),0)</f>
        <v>0</v>
      </c>
      <c r="G95" s="373"/>
      <c r="H95" s="374">
        <f t="shared" ref="H95:P95" si="18">ROUND(SUM(H74:H94),2)</f>
        <v>0</v>
      </c>
      <c r="I95" s="244">
        <f t="shared" si="18"/>
        <v>0</v>
      </c>
      <c r="J95" s="244">
        <f t="shared" si="18"/>
        <v>0</v>
      </c>
      <c r="K95" s="288">
        <f t="shared" si="18"/>
        <v>0</v>
      </c>
      <c r="L95" s="288">
        <f t="shared" si="18"/>
        <v>0</v>
      </c>
      <c r="M95" s="288">
        <f t="shared" si="18"/>
        <v>0</v>
      </c>
      <c r="N95" s="244">
        <f t="shared" si="18"/>
        <v>0</v>
      </c>
      <c r="O95" s="244">
        <f t="shared" si="18"/>
        <v>0</v>
      </c>
      <c r="P95" s="374">
        <f t="shared" si="18"/>
        <v>0</v>
      </c>
    </row>
    <row r="96" spans="1:19" ht="14" thickBot="1" x14ac:dyDescent="0.2">
      <c r="A96" s="486" t="s">
        <v>294</v>
      </c>
      <c r="B96" s="487"/>
      <c r="C96" s="487"/>
      <c r="D96" s="488"/>
      <c r="E96" s="489" t="s">
        <v>293</v>
      </c>
      <c r="F96" s="490"/>
      <c r="G96" s="490"/>
      <c r="H96" s="490"/>
      <c r="I96" s="490"/>
      <c r="J96" s="490"/>
      <c r="K96" s="490"/>
      <c r="L96" s="490"/>
      <c r="M96" s="490"/>
      <c r="N96" s="490"/>
      <c r="O96" s="490"/>
      <c r="P96" s="491"/>
    </row>
    <row r="97" spans="1:20" ht="14" thickBot="1" x14ac:dyDescent="0.2">
      <c r="A97" s="478" t="s">
        <v>292</v>
      </c>
      <c r="B97" s="479"/>
      <c r="C97" s="479"/>
      <c r="D97" s="479"/>
      <c r="E97" s="479"/>
      <c r="F97" s="479"/>
      <c r="G97" s="479"/>
      <c r="H97" s="480"/>
      <c r="I97" s="375"/>
      <c r="J97" s="478" t="s">
        <v>291</v>
      </c>
      <c r="K97" s="479"/>
      <c r="L97" s="479"/>
      <c r="M97" s="479"/>
      <c r="N97" s="479"/>
      <c r="O97" s="479"/>
      <c r="P97" s="480"/>
    </row>
    <row r="98" spans="1:20" ht="14" thickBot="1" x14ac:dyDescent="0.2">
      <c r="A98" s="376" t="s">
        <v>289</v>
      </c>
      <c r="B98" s="457" t="s">
        <v>290</v>
      </c>
      <c r="C98" s="458"/>
      <c r="D98" s="458"/>
      <c r="E98" s="458"/>
      <c r="F98" s="458"/>
      <c r="G98" s="459"/>
      <c r="H98" s="377" t="s">
        <v>257</v>
      </c>
      <c r="I98" s="378"/>
      <c r="J98" s="376" t="s">
        <v>289</v>
      </c>
      <c r="K98" s="376" t="s">
        <v>288</v>
      </c>
      <c r="L98" s="457" t="s">
        <v>287</v>
      </c>
      <c r="M98" s="458"/>
      <c r="N98" s="458"/>
      <c r="O98" s="459"/>
      <c r="P98" s="379" t="s">
        <v>257</v>
      </c>
    </row>
    <row r="99" spans="1:20" ht="14.25" customHeight="1" x14ac:dyDescent="0.15">
      <c r="A99" s="380" t="str">
        <f>IFERROR(VLOOKUP($R99,Expenses!$B$3:$O$38,2,0),"")</f>
        <v/>
      </c>
      <c r="B99" s="460" t="str">
        <f>IFERROR(VLOOKUP($R99,Expenses!$B$3:$O$38,9,0),"")</f>
        <v/>
      </c>
      <c r="C99" s="461" t="str">
        <f>IFERROR(VLOOKUP($R99,Expenses!$B$3:$O$38,9,0),"")</f>
        <v/>
      </c>
      <c r="D99" s="461" t="str">
        <f>IFERROR(VLOOKUP($R99,Expenses!$B$3:$O$38,9,0),"")</f>
        <v/>
      </c>
      <c r="E99" s="461" t="str">
        <f>IFERROR(VLOOKUP($R99,Expenses!$B$3:$O$38,9,0),"")</f>
        <v/>
      </c>
      <c r="F99" s="461" t="str">
        <f>IFERROR(VLOOKUP($R99,Expenses!$B$3:$O$38,9,0),"")</f>
        <v/>
      </c>
      <c r="G99" s="462" t="str">
        <f>IFERROR(VLOOKUP($R99,Expenses!$B$3:$O$38,9,0),"")</f>
        <v/>
      </c>
      <c r="H99" s="381" t="str">
        <f>IFERROR(VLOOKUP($R99,Expenses!$B$3:$O$38,11,0),"")</f>
        <v/>
      </c>
      <c r="I99" s="378"/>
      <c r="J99" s="380" t="str">
        <f>IFERROR(VLOOKUP($R99,Expenses!$A$3:$O$38,3,0),"")</f>
        <v/>
      </c>
      <c r="K99" s="382" t="str">
        <f t="shared" ref="K99:K113" si="19">IF(J99="","",$A$46)</f>
        <v/>
      </c>
      <c r="L99" s="454" t="str">
        <f>IFERROR(VLOOKUP($R99,Expenses!$A$3:$O$38,9,0)&amp;"-"&amp;VLOOKUP($R99,Expenses!$A$3:$O$38,10,0),"")</f>
        <v/>
      </c>
      <c r="M99" s="455"/>
      <c r="N99" s="455"/>
      <c r="O99" s="456"/>
      <c r="P99" s="383" t="str">
        <f>IFERROR(VLOOKUP($R99,Expenses!$A$3:$O$38,12,0),"")</f>
        <v/>
      </c>
      <c r="R99" s="72">
        <v>7</v>
      </c>
    </row>
    <row r="100" spans="1:20" x14ac:dyDescent="0.15">
      <c r="A100" s="384" t="str">
        <f>IFERROR(VLOOKUP($R100,Expenses!$B$3:$O$38,2,0),"")</f>
        <v/>
      </c>
      <c r="B100" s="472" t="str">
        <f>IFERROR(VLOOKUP($R100,Expenses!$B$3:$O$38,9,0),"")</f>
        <v/>
      </c>
      <c r="C100" s="473" t="str">
        <f>IFERROR(VLOOKUP($R100,Expenses!$B$3:$O$38,9,0),"")</f>
        <v/>
      </c>
      <c r="D100" s="473" t="str">
        <f>IFERROR(VLOOKUP($R100,Expenses!$B$3:$O$38,9,0),"")</f>
        <v/>
      </c>
      <c r="E100" s="473" t="str">
        <f>IFERROR(VLOOKUP($R100,Expenses!$B$3:$O$38,9,0),"")</f>
        <v/>
      </c>
      <c r="F100" s="473" t="str">
        <f>IFERROR(VLOOKUP($R100,Expenses!$B$3:$O$38,9,0),"")</f>
        <v/>
      </c>
      <c r="G100" s="474" t="str">
        <f>IFERROR(VLOOKUP($R100,Expenses!$B$3:$O$38,9,0),"")</f>
        <v/>
      </c>
      <c r="H100" s="385" t="str">
        <f>IFERROR(VLOOKUP($R100,Expenses!$B$3:$O$38,11,0),"")</f>
        <v/>
      </c>
      <c r="I100" s="378"/>
      <c r="J100" s="384" t="str">
        <f>IFERROR(VLOOKUP($R100,Expenses!$A$3:$O$38,3,0),"")</f>
        <v/>
      </c>
      <c r="K100" s="386" t="str">
        <f t="shared" si="19"/>
        <v/>
      </c>
      <c r="L100" s="387" t="str">
        <f>IFERROR(VLOOKUP($R100,Expenses!$A$3:$O$38,9,0)&amp;"-"&amp;VLOOKUP($R100,Expenses!$A$3:$O$38,10,0),"")</f>
        <v/>
      </c>
      <c r="M100" s="388"/>
      <c r="N100" s="388"/>
      <c r="O100" s="389"/>
      <c r="P100" s="390" t="str">
        <f>IFERROR(VLOOKUP($R100,Expenses!$A$3:$O$38,12,0),"")</f>
        <v/>
      </c>
      <c r="R100" s="72">
        <v>8</v>
      </c>
      <c r="S100" s="72" t="str">
        <f>IFERROR(VLOOKUP($R100,Expenses!$B$3:$O$38,11,0),"")</f>
        <v/>
      </c>
      <c r="T100" s="72" t="str">
        <f>IFERROR(VLOOKUP($R100,Expenses!$B$3:$O$38,9,0),"")</f>
        <v/>
      </c>
    </row>
    <row r="101" spans="1:20" x14ac:dyDescent="0.15">
      <c r="A101" s="384" t="str">
        <f>IFERROR(VLOOKUP($R101,Expenses!$B$3:$O$38,2,0),"")</f>
        <v/>
      </c>
      <c r="B101" s="472" t="str">
        <f>IFERROR(VLOOKUP($R101,Expenses!$B$3:$O$38,9,0),"")</f>
        <v/>
      </c>
      <c r="C101" s="473" t="str">
        <f>IFERROR(VLOOKUP($R101,Expenses!$B$3:$O$38,9,0),"")</f>
        <v/>
      </c>
      <c r="D101" s="473" t="str">
        <f>IFERROR(VLOOKUP($R101,Expenses!$B$3:$O$38,9,0),"")</f>
        <v/>
      </c>
      <c r="E101" s="473" t="str">
        <f>IFERROR(VLOOKUP($R101,Expenses!$B$3:$O$38,9,0),"")</f>
        <v/>
      </c>
      <c r="F101" s="473" t="str">
        <f>IFERROR(VLOOKUP($R101,Expenses!$B$3:$O$38,9,0),"")</f>
        <v/>
      </c>
      <c r="G101" s="474" t="str">
        <f>IFERROR(VLOOKUP($R101,Expenses!$B$3:$O$38,9,0),"")</f>
        <v/>
      </c>
      <c r="H101" s="385" t="str">
        <f>IFERROR(VLOOKUP($R101,Expenses!$B$3:$O$38,11,0),"")</f>
        <v/>
      </c>
      <c r="I101" s="378"/>
      <c r="J101" s="384" t="str">
        <f>IFERROR(VLOOKUP($R101,Expenses!$A$3:$O$38,3,0),"")</f>
        <v/>
      </c>
      <c r="K101" s="386" t="str">
        <f t="shared" si="19"/>
        <v/>
      </c>
      <c r="L101" s="387" t="str">
        <f>IFERROR(VLOOKUP($R101,Expenses!$A$3:$O$38,9,0)&amp;"-"&amp;VLOOKUP($R101,Expenses!$A$3:$O$38,10,0),"")</f>
        <v/>
      </c>
      <c r="M101" s="388"/>
      <c r="N101" s="388"/>
      <c r="O101" s="389"/>
      <c r="P101" s="390" t="str">
        <f>IFERROR(VLOOKUP($R101,Expenses!$A$3:$O$38,12,0),"")</f>
        <v/>
      </c>
      <c r="R101" s="72">
        <v>9</v>
      </c>
    </row>
    <row r="102" spans="1:20" x14ac:dyDescent="0.15">
      <c r="A102" s="384" t="str">
        <f>IFERROR(VLOOKUP($R102,Expenses!$B$3:$O$38,2,0),"")</f>
        <v/>
      </c>
      <c r="B102" s="472" t="str">
        <f>IFERROR(VLOOKUP($R102,Expenses!$B$3:$O$38,9,0),"")</f>
        <v/>
      </c>
      <c r="C102" s="473" t="str">
        <f>IFERROR(VLOOKUP($R102,Expenses!$B$3:$O$38,9,0),"")</f>
        <v/>
      </c>
      <c r="D102" s="473" t="str">
        <f>IFERROR(VLOOKUP($R102,Expenses!$B$3:$O$38,9,0),"")</f>
        <v/>
      </c>
      <c r="E102" s="473" t="str">
        <f>IFERROR(VLOOKUP($R102,Expenses!$B$3:$O$38,9,0),"")</f>
        <v/>
      </c>
      <c r="F102" s="473" t="str">
        <f>IFERROR(VLOOKUP($R102,Expenses!$B$3:$O$38,9,0),"")</f>
        <v/>
      </c>
      <c r="G102" s="474" t="str">
        <f>IFERROR(VLOOKUP($R102,Expenses!$B$3:$O$38,9,0),"")</f>
        <v/>
      </c>
      <c r="H102" s="385" t="str">
        <f>IFERROR(VLOOKUP($R102,Expenses!$B$3:$O$38,11,0),"")</f>
        <v/>
      </c>
      <c r="I102" s="378"/>
      <c r="J102" s="384" t="str">
        <f>IFERROR(VLOOKUP($R102,Expenses!$A$3:$O$38,3,0),"")</f>
        <v/>
      </c>
      <c r="K102" s="386" t="str">
        <f t="shared" si="19"/>
        <v/>
      </c>
      <c r="L102" s="387" t="str">
        <f>IFERROR(VLOOKUP($R102,Expenses!$A$3:$O$38,9,0)&amp;"-"&amp;VLOOKUP($R102,Expenses!$A$3:$O$38,10,0),"")</f>
        <v/>
      </c>
      <c r="M102" s="388"/>
      <c r="N102" s="388"/>
      <c r="O102" s="389"/>
      <c r="P102" s="390" t="str">
        <f>IFERROR(VLOOKUP($R102,Expenses!$A$3:$O$38,12,0),"")</f>
        <v/>
      </c>
      <c r="R102" s="72">
        <v>10</v>
      </c>
    </row>
    <row r="103" spans="1:20" x14ac:dyDescent="0.15">
      <c r="A103" s="384" t="str">
        <f>IFERROR(VLOOKUP($R103,Expenses!$B$3:$O$38,2,0),"")</f>
        <v/>
      </c>
      <c r="B103" s="472" t="str">
        <f>IFERROR(VLOOKUP($R103,Expenses!$B$3:$O$38,9,0),"")</f>
        <v/>
      </c>
      <c r="C103" s="473" t="str">
        <f>IFERROR(VLOOKUP($R103,Expenses!$B$3:$O$38,9,0),"")</f>
        <v/>
      </c>
      <c r="D103" s="473" t="str">
        <f>IFERROR(VLOOKUP($R103,Expenses!$B$3:$O$38,9,0),"")</f>
        <v/>
      </c>
      <c r="E103" s="473" t="str">
        <f>IFERROR(VLOOKUP($R103,Expenses!$B$3:$O$38,9,0),"")</f>
        <v/>
      </c>
      <c r="F103" s="473" t="str">
        <f>IFERROR(VLOOKUP($R103,Expenses!$B$3:$O$38,9,0),"")</f>
        <v/>
      </c>
      <c r="G103" s="474" t="str">
        <f>IFERROR(VLOOKUP($R103,Expenses!$B$3:$O$38,9,0),"")</f>
        <v/>
      </c>
      <c r="H103" s="385" t="str">
        <f>IFERROR(VLOOKUP($R103,Expenses!$B$3:$O$38,11,0),"")</f>
        <v/>
      </c>
      <c r="I103" s="378"/>
      <c r="J103" s="384" t="str">
        <f>IFERROR(VLOOKUP($R103,Expenses!$A$3:$O$38,3,0),"")</f>
        <v/>
      </c>
      <c r="K103" s="386" t="str">
        <f t="shared" si="19"/>
        <v/>
      </c>
      <c r="L103" s="387" t="str">
        <f>IFERROR(VLOOKUP($R103,Expenses!$A$3:$O$38,9,0)&amp;"-"&amp;VLOOKUP($R103,Expenses!$A$3:$O$38,10,0),"")</f>
        <v/>
      </c>
      <c r="M103" s="388"/>
      <c r="N103" s="388"/>
      <c r="O103" s="389"/>
      <c r="P103" s="390" t="str">
        <f>IFERROR(VLOOKUP($R103,Expenses!$A$3:$O$38,12,0),"")</f>
        <v/>
      </c>
      <c r="R103" s="72">
        <v>11</v>
      </c>
    </row>
    <row r="104" spans="1:20" x14ac:dyDescent="0.15">
      <c r="A104" s="384" t="str">
        <f>IFERROR(VLOOKUP($R104,Expenses!$B$3:$O$38,2,0),"")</f>
        <v/>
      </c>
      <c r="B104" s="472" t="str">
        <f>IFERROR(VLOOKUP($R104,Expenses!$B$3:$O$38,9,0),"")</f>
        <v/>
      </c>
      <c r="C104" s="473" t="str">
        <f>IFERROR(VLOOKUP($R104,Expenses!$B$3:$O$38,9,0),"")</f>
        <v/>
      </c>
      <c r="D104" s="473" t="str">
        <f>IFERROR(VLOOKUP($R104,Expenses!$B$3:$O$38,9,0),"")</f>
        <v/>
      </c>
      <c r="E104" s="473" t="str">
        <f>IFERROR(VLOOKUP($R104,Expenses!$B$3:$O$38,9,0),"")</f>
        <v/>
      </c>
      <c r="F104" s="473" t="str">
        <f>IFERROR(VLOOKUP($R104,Expenses!$B$3:$O$38,9,0),"")</f>
        <v/>
      </c>
      <c r="G104" s="474" t="str">
        <f>IFERROR(VLOOKUP($R104,Expenses!$B$3:$O$38,9,0),"")</f>
        <v/>
      </c>
      <c r="H104" s="385" t="str">
        <f>IFERROR(VLOOKUP($R104,Expenses!$B$3:$O$38,11,0),"")</f>
        <v/>
      </c>
      <c r="I104" s="378"/>
      <c r="J104" s="384" t="str">
        <f>IFERROR(VLOOKUP($R104,Expenses!$A$3:$O$38,3,0),"")</f>
        <v/>
      </c>
      <c r="K104" s="386" t="str">
        <f t="shared" si="19"/>
        <v/>
      </c>
      <c r="L104" s="387" t="str">
        <f>IFERROR(VLOOKUP($R104,Expenses!$A$3:$O$38,9,0)&amp;"-"&amp;VLOOKUP($R104,Expenses!$A$3:$O$38,10,0),"")</f>
        <v/>
      </c>
      <c r="M104" s="388"/>
      <c r="N104" s="388"/>
      <c r="O104" s="389"/>
      <c r="P104" s="390" t="str">
        <f>IFERROR(VLOOKUP($R104,Expenses!$A$3:$O$38,12,0),"")</f>
        <v/>
      </c>
      <c r="R104" s="72">
        <v>12</v>
      </c>
    </row>
    <row r="105" spans="1:20" x14ac:dyDescent="0.15">
      <c r="A105" s="384" t="str">
        <f>IFERROR(VLOOKUP($R105,Expenses!$B$3:$O$38,2,0),"")</f>
        <v/>
      </c>
      <c r="B105" s="472" t="str">
        <f>IFERROR(VLOOKUP($R105,Expenses!$B$3:$O$38,9,0),"")</f>
        <v/>
      </c>
      <c r="C105" s="473" t="str">
        <f>IFERROR(VLOOKUP($R105,Expenses!$B$3:$O$38,9,0),"")</f>
        <v/>
      </c>
      <c r="D105" s="473" t="str">
        <f>IFERROR(VLOOKUP($R105,Expenses!$B$3:$O$38,9,0),"")</f>
        <v/>
      </c>
      <c r="E105" s="473" t="str">
        <f>IFERROR(VLOOKUP($R105,Expenses!$B$3:$O$38,9,0),"")</f>
        <v/>
      </c>
      <c r="F105" s="473" t="str">
        <f>IFERROR(VLOOKUP($R105,Expenses!$B$3:$O$38,9,0),"")</f>
        <v/>
      </c>
      <c r="G105" s="474" t="str">
        <f>IFERROR(VLOOKUP($R105,Expenses!$B$3:$O$38,9,0),"")</f>
        <v/>
      </c>
      <c r="H105" s="385" t="str">
        <f>IFERROR(VLOOKUP($R105,Expenses!$B$3:$O$38,11,0),"")</f>
        <v/>
      </c>
      <c r="I105" s="378"/>
      <c r="J105" s="384" t="str">
        <f>IFERROR(VLOOKUP($R105,Expenses!$A$3:$O$38,3,0),"")</f>
        <v/>
      </c>
      <c r="K105" s="386" t="str">
        <f t="shared" si="19"/>
        <v/>
      </c>
      <c r="L105" s="387" t="str">
        <f>IFERROR(VLOOKUP($R105,Expenses!$A$3:$O$38,9,0)&amp;"-"&amp;VLOOKUP($R105,Expenses!$A$3:$O$38,10,0),"")</f>
        <v/>
      </c>
      <c r="M105" s="388"/>
      <c r="N105" s="388"/>
      <c r="O105" s="389"/>
      <c r="P105" s="390" t="str">
        <f>IFERROR(VLOOKUP($R105,Expenses!$A$3:$O$38,12,0),"")</f>
        <v/>
      </c>
      <c r="R105" s="72">
        <v>13</v>
      </c>
    </row>
    <row r="106" spans="1:20" x14ac:dyDescent="0.15">
      <c r="A106" s="384" t="str">
        <f>IFERROR(VLOOKUP($R106,Expenses!$B$3:$O$38,2,0),"")</f>
        <v/>
      </c>
      <c r="B106" s="472" t="str">
        <f>IFERROR(VLOOKUP($R106,Expenses!$B$3:$O$38,9,0),"")</f>
        <v/>
      </c>
      <c r="C106" s="473" t="str">
        <f>IFERROR(VLOOKUP($R106,Expenses!$B$3:$O$38,9,0),"")</f>
        <v/>
      </c>
      <c r="D106" s="473" t="str">
        <f>IFERROR(VLOOKUP($R106,Expenses!$B$3:$O$38,9,0),"")</f>
        <v/>
      </c>
      <c r="E106" s="473" t="str">
        <f>IFERROR(VLOOKUP($R106,Expenses!$B$3:$O$38,9,0),"")</f>
        <v/>
      </c>
      <c r="F106" s="473" t="str">
        <f>IFERROR(VLOOKUP($R106,Expenses!$B$3:$O$38,9,0),"")</f>
        <v/>
      </c>
      <c r="G106" s="474" t="str">
        <f>IFERROR(VLOOKUP($R106,Expenses!$B$3:$O$38,9,0),"")</f>
        <v/>
      </c>
      <c r="H106" s="385" t="str">
        <f>IFERROR(VLOOKUP($R106,Expenses!$B$3:$O$38,11,0),"")</f>
        <v/>
      </c>
      <c r="I106" s="378"/>
      <c r="J106" s="384" t="str">
        <f>IFERROR(VLOOKUP($R106,Expenses!$A$3:$O$38,3,0),"")</f>
        <v/>
      </c>
      <c r="K106" s="386" t="str">
        <f t="shared" si="19"/>
        <v/>
      </c>
      <c r="L106" s="387" t="str">
        <f>IFERROR(VLOOKUP($R106,Expenses!$A$3:$O$38,9,0)&amp;"-"&amp;VLOOKUP($R106,Expenses!$A$3:$O$38,10,0),"")</f>
        <v/>
      </c>
      <c r="M106" s="388"/>
      <c r="N106" s="388"/>
      <c r="O106" s="389"/>
      <c r="P106" s="390" t="str">
        <f>IFERROR(VLOOKUP($R106,Expenses!$A$3:$O$38,12,0),"")</f>
        <v/>
      </c>
      <c r="R106" s="72">
        <v>14</v>
      </c>
    </row>
    <row r="107" spans="1:20" x14ac:dyDescent="0.15">
      <c r="A107" s="384" t="str">
        <f>IFERROR(VLOOKUP($R107,Expenses!$B$3:$O$38,2,0),"")</f>
        <v/>
      </c>
      <c r="B107" s="472" t="str">
        <f>IFERROR(VLOOKUP($R107,Expenses!$B$3:$O$38,9,0),"")</f>
        <v/>
      </c>
      <c r="C107" s="473" t="str">
        <f>IFERROR(VLOOKUP($R107,Expenses!$B$3:$O$38,9,0),"")</f>
        <v/>
      </c>
      <c r="D107" s="473" t="str">
        <f>IFERROR(VLOOKUP($R107,Expenses!$B$3:$O$38,9,0),"")</f>
        <v/>
      </c>
      <c r="E107" s="473" t="str">
        <f>IFERROR(VLOOKUP($R107,Expenses!$B$3:$O$38,9,0),"")</f>
        <v/>
      </c>
      <c r="F107" s="473" t="str">
        <f>IFERROR(VLOOKUP($R107,Expenses!$B$3:$O$38,9,0),"")</f>
        <v/>
      </c>
      <c r="G107" s="474" t="str">
        <f>IFERROR(VLOOKUP($R107,Expenses!$B$3:$O$38,9,0),"")</f>
        <v/>
      </c>
      <c r="H107" s="385" t="str">
        <f>IFERROR(VLOOKUP($R107,Expenses!$B$3:$O$38,11,0),"")</f>
        <v/>
      </c>
      <c r="I107" s="378"/>
      <c r="J107" s="384" t="str">
        <f>IFERROR(VLOOKUP($R107,Expenses!$A$3:$O$38,3,0),"")</f>
        <v/>
      </c>
      <c r="K107" s="386" t="str">
        <f t="shared" si="19"/>
        <v/>
      </c>
      <c r="L107" s="387" t="str">
        <f>IFERROR(VLOOKUP($R107,Expenses!$A$3:$O$38,9,0)&amp;"-"&amp;VLOOKUP($R107,Expenses!$A$3:$O$38,10,0),"")</f>
        <v/>
      </c>
      <c r="M107" s="388"/>
      <c r="N107" s="388"/>
      <c r="O107" s="389"/>
      <c r="P107" s="390" t="str">
        <f>IFERROR(VLOOKUP($R107,Expenses!$A$3:$O$38,12,0),"")</f>
        <v/>
      </c>
      <c r="R107" s="72">
        <v>15</v>
      </c>
    </row>
    <row r="108" spans="1:20" x14ac:dyDescent="0.15">
      <c r="A108" s="384" t="str">
        <f>IFERROR(VLOOKUP($R108,Expenses!$B$3:$O$38,2,0),"")</f>
        <v/>
      </c>
      <c r="B108" s="472" t="str">
        <f>IFERROR(VLOOKUP($R108,Expenses!$B$3:$O$38,9,0),"")</f>
        <v/>
      </c>
      <c r="C108" s="473" t="str">
        <f>IFERROR(VLOOKUP($R108,Expenses!$B$3:$O$38,9,0),"")</f>
        <v/>
      </c>
      <c r="D108" s="473" t="str">
        <f>IFERROR(VLOOKUP($R108,Expenses!$B$3:$O$38,9,0),"")</f>
        <v/>
      </c>
      <c r="E108" s="473" t="str">
        <f>IFERROR(VLOOKUP($R108,Expenses!$B$3:$O$38,9,0),"")</f>
        <v/>
      </c>
      <c r="F108" s="473" t="str">
        <f>IFERROR(VLOOKUP($R108,Expenses!$B$3:$O$38,9,0),"")</f>
        <v/>
      </c>
      <c r="G108" s="474" t="str">
        <f>IFERROR(VLOOKUP($R108,Expenses!$B$3:$O$38,9,0),"")</f>
        <v/>
      </c>
      <c r="H108" s="385" t="str">
        <f>IFERROR(VLOOKUP($R108,Expenses!$B$3:$O$38,11,0),"")</f>
        <v/>
      </c>
      <c r="I108" s="378"/>
      <c r="J108" s="384" t="str">
        <f>IFERROR(VLOOKUP($R108,Expenses!$A$3:$O$38,3,0),"")</f>
        <v/>
      </c>
      <c r="K108" s="386" t="str">
        <f t="shared" si="19"/>
        <v/>
      </c>
      <c r="L108" s="387" t="str">
        <f>IFERROR(VLOOKUP($R108,Expenses!$A$3:$O$38,9,0)&amp;"-"&amp;VLOOKUP($R108,Expenses!$A$3:$O$38,10,0),"")</f>
        <v/>
      </c>
      <c r="M108" s="388"/>
      <c r="N108" s="388"/>
      <c r="O108" s="389"/>
      <c r="P108" s="390" t="str">
        <f>IFERROR(VLOOKUP($R108,Expenses!$A$3:$O$38,12,0),"")</f>
        <v/>
      </c>
      <c r="R108" s="72">
        <v>16</v>
      </c>
    </row>
    <row r="109" spans="1:20" x14ac:dyDescent="0.15">
      <c r="A109" s="391" t="str">
        <f>IFERROR(VLOOKUP($R109,Expenses!$B$3:$O$38,2,0),"")</f>
        <v/>
      </c>
      <c r="B109" s="475" t="str">
        <f>IFERROR(VLOOKUP($R109,Expenses!$B$3:$O$38,9,0),"")</f>
        <v/>
      </c>
      <c r="C109" s="476" t="str">
        <f>IFERROR(VLOOKUP($R109,Expenses!$B$3:$O$38,9,0),"")</f>
        <v/>
      </c>
      <c r="D109" s="476" t="str">
        <f>IFERROR(VLOOKUP($R109,Expenses!$B$3:$O$38,9,0),"")</f>
        <v/>
      </c>
      <c r="E109" s="476" t="str">
        <f>IFERROR(VLOOKUP($R109,Expenses!$B$3:$O$38,9,0),"")</f>
        <v/>
      </c>
      <c r="F109" s="476" t="str">
        <f>IFERROR(VLOOKUP($R109,Expenses!$B$3:$O$38,9,0),"")</f>
        <v/>
      </c>
      <c r="G109" s="477" t="str">
        <f>IFERROR(VLOOKUP($R109,Expenses!$B$3:$O$38,9,0),"")</f>
        <v/>
      </c>
      <c r="H109" s="392" t="str">
        <f>IFERROR(VLOOKUP($R109,Expenses!$B$3:$O$38,11,0),"")</f>
        <v/>
      </c>
      <c r="I109" s="378"/>
      <c r="J109" s="391" t="str">
        <f>IFERROR(VLOOKUP($R109,Expenses!$A$3:$O$38,3,0),"")</f>
        <v/>
      </c>
      <c r="K109" s="393" t="str">
        <f t="shared" si="19"/>
        <v/>
      </c>
      <c r="L109" s="387" t="str">
        <f>IFERROR(VLOOKUP($R109,Expenses!$A$3:$O$38,9,0)&amp;"-"&amp;VLOOKUP($R109,Expenses!$A$3:$O$38,10,0),"")</f>
        <v/>
      </c>
      <c r="M109" s="388"/>
      <c r="N109" s="388"/>
      <c r="O109" s="389"/>
      <c r="P109" s="390" t="str">
        <f>IFERROR(VLOOKUP($R109,Expenses!$A$3:$O$38,12,0),"")</f>
        <v/>
      </c>
      <c r="R109" s="72">
        <v>17</v>
      </c>
    </row>
    <row r="110" spans="1:20" x14ac:dyDescent="0.15">
      <c r="A110" s="391" t="str">
        <f>IFERROR(VLOOKUP($R110,Expenses!$B$3:$O$38,2,0),"")</f>
        <v/>
      </c>
      <c r="B110" s="475" t="str">
        <f>IFERROR(VLOOKUP($R110,Expenses!$B$3:$O$38,9,0),"")</f>
        <v/>
      </c>
      <c r="C110" s="476" t="str">
        <f>IFERROR(VLOOKUP($R110,Expenses!$B$3:$O$38,9,0),"")</f>
        <v/>
      </c>
      <c r="D110" s="476" t="str">
        <f>IFERROR(VLOOKUP($R110,Expenses!$B$3:$O$38,9,0),"")</f>
        <v/>
      </c>
      <c r="E110" s="476" t="str">
        <f>IFERROR(VLOOKUP($R110,Expenses!$B$3:$O$38,9,0),"")</f>
        <v/>
      </c>
      <c r="F110" s="476" t="str">
        <f>IFERROR(VLOOKUP($R110,Expenses!$B$3:$O$38,9,0),"")</f>
        <v/>
      </c>
      <c r="G110" s="477" t="str">
        <f>IFERROR(VLOOKUP($R110,Expenses!$B$3:$O$38,9,0),"")</f>
        <v/>
      </c>
      <c r="H110" s="392" t="str">
        <f>IFERROR(VLOOKUP($R110,Expenses!$B$3:$O$38,11,0),"")</f>
        <v/>
      </c>
      <c r="I110" s="378"/>
      <c r="J110" s="391" t="str">
        <f>IFERROR(VLOOKUP($R110,Expenses!$A$3:$O$38,3,0),"")</f>
        <v/>
      </c>
      <c r="K110" s="393" t="str">
        <f t="shared" si="19"/>
        <v/>
      </c>
      <c r="L110" s="387" t="str">
        <f>IFERROR(VLOOKUP($R110,Expenses!$A$3:$O$38,9,0)&amp;"-"&amp;VLOOKUP($R110,Expenses!$A$3:$O$38,10,0),"")</f>
        <v/>
      </c>
      <c r="M110" s="388"/>
      <c r="N110" s="388"/>
      <c r="O110" s="389"/>
      <c r="P110" s="390" t="str">
        <f>IFERROR(VLOOKUP($R110,Expenses!$A$3:$O$38,12,0),"")</f>
        <v/>
      </c>
      <c r="R110" s="72">
        <v>18</v>
      </c>
    </row>
    <row r="111" spans="1:20" x14ac:dyDescent="0.15">
      <c r="A111" s="391" t="str">
        <f>IFERROR(VLOOKUP($R111,Expenses!$B$3:$O$38,2,0),"")</f>
        <v/>
      </c>
      <c r="B111" s="475" t="str">
        <f>IFERROR(VLOOKUP($R111,Expenses!$B$3:$O$38,9,0),"")</f>
        <v/>
      </c>
      <c r="C111" s="476" t="str">
        <f>IFERROR(VLOOKUP($R111,Expenses!$B$3:$O$38,9,0),"")</f>
        <v/>
      </c>
      <c r="D111" s="476" t="str">
        <f>IFERROR(VLOOKUP($R111,Expenses!$B$3:$O$38,9,0),"")</f>
        <v/>
      </c>
      <c r="E111" s="476" t="str">
        <f>IFERROR(VLOOKUP($R111,Expenses!$B$3:$O$38,9,0),"")</f>
        <v/>
      </c>
      <c r="F111" s="476" t="str">
        <f>IFERROR(VLOOKUP($R111,Expenses!$B$3:$O$38,9,0),"")</f>
        <v/>
      </c>
      <c r="G111" s="477" t="str">
        <f>IFERROR(VLOOKUP($R111,Expenses!$B$3:$O$38,9,0),"")</f>
        <v/>
      </c>
      <c r="H111" s="392" t="str">
        <f>IFERROR(VLOOKUP($R111,Expenses!$B$3:$O$38,11,0),"")</f>
        <v/>
      </c>
      <c r="I111" s="378"/>
      <c r="J111" s="391" t="str">
        <f>IFERROR(VLOOKUP($R111,Expenses!$A$3:$O$38,3,0),"")</f>
        <v/>
      </c>
      <c r="K111" s="393" t="str">
        <f t="shared" si="19"/>
        <v/>
      </c>
      <c r="L111" s="387" t="str">
        <f>IFERROR(VLOOKUP($R111,Expenses!$A$3:$O$38,9,0)&amp;"-"&amp;VLOOKUP($R111,Expenses!$A$3:$O$38,10,0),"")</f>
        <v/>
      </c>
      <c r="M111" s="388"/>
      <c r="N111" s="388"/>
      <c r="O111" s="389"/>
      <c r="P111" s="390" t="str">
        <f>IFERROR(VLOOKUP($R111,Expenses!$A$3:$O$38,12,0),"")</f>
        <v/>
      </c>
      <c r="R111" s="72">
        <v>19</v>
      </c>
    </row>
    <row r="112" spans="1:20" x14ac:dyDescent="0.15">
      <c r="A112" s="391" t="str">
        <f>IFERROR(VLOOKUP($R112,Expenses!$B$3:$O$38,2,0),"")</f>
        <v/>
      </c>
      <c r="B112" s="475" t="str">
        <f>IFERROR(VLOOKUP($R112,Expenses!$B$3:$O$38,9,0),"")</f>
        <v/>
      </c>
      <c r="C112" s="476" t="str">
        <f>IFERROR(VLOOKUP($R112,Expenses!$B$3:$O$38,9,0),"")</f>
        <v/>
      </c>
      <c r="D112" s="476" t="str">
        <f>IFERROR(VLOOKUP($R112,Expenses!$B$3:$O$38,9,0),"")</f>
        <v/>
      </c>
      <c r="E112" s="476" t="str">
        <f>IFERROR(VLOOKUP($R112,Expenses!$B$3:$O$38,9,0),"")</f>
        <v/>
      </c>
      <c r="F112" s="476" t="str">
        <f>IFERROR(VLOOKUP($R112,Expenses!$B$3:$O$38,9,0),"")</f>
        <v/>
      </c>
      <c r="G112" s="477" t="str">
        <f>IFERROR(VLOOKUP($R112,Expenses!$B$3:$O$38,9,0),"")</f>
        <v/>
      </c>
      <c r="H112" s="392" t="str">
        <f>IFERROR(VLOOKUP($R112,Expenses!$B$3:$O$38,11,0),"")</f>
        <v/>
      </c>
      <c r="I112" s="378"/>
      <c r="J112" s="391" t="str">
        <f>IFERROR(VLOOKUP($R112,Expenses!$A$3:$O$38,3,0),"")</f>
        <v/>
      </c>
      <c r="K112" s="393" t="str">
        <f t="shared" si="19"/>
        <v/>
      </c>
      <c r="L112" s="387" t="str">
        <f>IFERROR(VLOOKUP($R112,Expenses!$A$3:$O$38,9,0)&amp;"-"&amp;VLOOKUP($R112,Expenses!$A$3:$O$38,10,0),"")</f>
        <v/>
      </c>
      <c r="M112" s="388"/>
      <c r="N112" s="388"/>
      <c r="O112" s="389"/>
      <c r="P112" s="390" t="str">
        <f>IFERROR(VLOOKUP($R112,Expenses!$A$3:$O$38,12,0),"")</f>
        <v/>
      </c>
      <c r="R112" s="72">
        <v>20</v>
      </c>
    </row>
    <row r="113" spans="1:18" ht="14" thickBot="1" x14ac:dyDescent="0.2">
      <c r="A113" s="394" t="str">
        <f>IFERROR(VLOOKUP($R113,Expenses!$B$3:$O$38,2,0),"")</f>
        <v/>
      </c>
      <c r="B113" s="463" t="str">
        <f>IFERROR(VLOOKUP($R113,Expenses!$B$3:$O$38,9,0),"")</f>
        <v/>
      </c>
      <c r="C113" s="464" t="str">
        <f>IFERROR(VLOOKUP($R113,Expenses!$B$3:$O$38,9,0),"")</f>
        <v/>
      </c>
      <c r="D113" s="464" t="str">
        <f>IFERROR(VLOOKUP($R113,Expenses!$B$3:$O$38,9,0),"")</f>
        <v/>
      </c>
      <c r="E113" s="464" t="str">
        <f>IFERROR(VLOOKUP($R113,Expenses!$B$3:$O$38,9,0),"")</f>
        <v/>
      </c>
      <c r="F113" s="464" t="str">
        <f>IFERROR(VLOOKUP($R113,Expenses!$B$3:$O$38,9,0),"")</f>
        <v/>
      </c>
      <c r="G113" s="465" t="str">
        <f>IFERROR(VLOOKUP($R113,Expenses!$B$3:$O$38,9,0),"")</f>
        <v/>
      </c>
      <c r="H113" s="395" t="str">
        <f>IFERROR(VLOOKUP($R113,Expenses!$B$3:$O$38,11,0),"")</f>
        <v/>
      </c>
      <c r="I113" s="378"/>
      <c r="J113" s="394" t="str">
        <f>IFERROR(VLOOKUP($R113,Expenses!$A$3:$O$38,3,0),"")</f>
        <v/>
      </c>
      <c r="K113" s="396" t="str">
        <f t="shared" si="19"/>
        <v/>
      </c>
      <c r="L113" s="387" t="str">
        <f>IFERROR(VLOOKUP($R113,Expenses!$A$3:$O$38,9,0)&amp;"-"&amp;VLOOKUP($R113,Expenses!$A$3:$O$38,10,0),"")</f>
        <v/>
      </c>
      <c r="M113" s="388"/>
      <c r="N113" s="388"/>
      <c r="O113" s="389"/>
      <c r="P113" s="390" t="str">
        <f>IFERROR(VLOOKUP($R113,Expenses!$A$3:$O$38,12,0),"")</f>
        <v/>
      </c>
      <c r="R113" s="72">
        <v>21</v>
      </c>
    </row>
    <row r="114" spans="1:18" ht="14" thickBot="1" x14ac:dyDescent="0.2">
      <c r="A114" s="466" t="s">
        <v>284</v>
      </c>
      <c r="B114" s="467"/>
      <c r="C114" s="467"/>
      <c r="D114" s="467"/>
      <c r="E114" s="467"/>
      <c r="F114" s="467"/>
      <c r="G114" s="468"/>
      <c r="H114" s="321">
        <f>SUM(H99:H113)</f>
        <v>0</v>
      </c>
      <c r="I114" s="378"/>
      <c r="J114" s="466" t="s">
        <v>283</v>
      </c>
      <c r="K114" s="467"/>
      <c r="L114" s="467"/>
      <c r="M114" s="467"/>
      <c r="N114" s="467"/>
      <c r="O114" s="468"/>
      <c r="P114" s="321">
        <f>SUM(P99:P113)</f>
        <v>0</v>
      </c>
    </row>
  </sheetData>
  <sheetProtection algorithmName="SHA-512" hashValue="pqsRA1azzpEND6iBkAQx+QRLeo88G0swoMEPLpG2Yf+JJcD6nRwiBHuwPlEz1u94hDiCQQaFLATfqu7CtQqNIw==" saltValue="KaQhh4K+3KVFkwec5XI2uA==" spinCount="100000" sheet="1" objects="1" scenarios="1"/>
  <mergeCells count="125">
    <mergeCell ref="B8:J8"/>
    <mergeCell ref="L8:P8"/>
    <mergeCell ref="D9:E9"/>
    <mergeCell ref="F9:H9"/>
    <mergeCell ref="I9:K9"/>
    <mergeCell ref="L9:M9"/>
    <mergeCell ref="A5:D5"/>
    <mergeCell ref="F5:P6"/>
    <mergeCell ref="A6:D6"/>
    <mergeCell ref="B7:G7"/>
    <mergeCell ref="I7:K7"/>
    <mergeCell ref="L7:M7"/>
    <mergeCell ref="N7:P7"/>
    <mergeCell ref="D12:H12"/>
    <mergeCell ref="I12:P13"/>
    <mergeCell ref="D13:G13"/>
    <mergeCell ref="A14:B15"/>
    <mergeCell ref="E14:P15"/>
    <mergeCell ref="G16:H16"/>
    <mergeCell ref="A10:B10"/>
    <mergeCell ref="C10:G10"/>
    <mergeCell ref="I10:K10"/>
    <mergeCell ref="M10:P10"/>
    <mergeCell ref="A11:C11"/>
    <mergeCell ref="D11:P11"/>
    <mergeCell ref="A42:G42"/>
    <mergeCell ref="J42:O42"/>
    <mergeCell ref="B34:G34"/>
    <mergeCell ref="L34:O34"/>
    <mergeCell ref="B35:G35"/>
    <mergeCell ref="B36:G36"/>
    <mergeCell ref="B37:G37"/>
    <mergeCell ref="B38:G38"/>
    <mergeCell ref="A30:E30"/>
    <mergeCell ref="A32:D32"/>
    <mergeCell ref="E32:M32"/>
    <mergeCell ref="O32:P32"/>
    <mergeCell ref="A33:H33"/>
    <mergeCell ref="J33:P33"/>
    <mergeCell ref="C26:E26"/>
    <mergeCell ref="C27:E27"/>
    <mergeCell ref="C28:E28"/>
    <mergeCell ref="C29:E29"/>
    <mergeCell ref="S31:S32"/>
    <mergeCell ref="T31:AA32"/>
    <mergeCell ref="G72:H72"/>
    <mergeCell ref="C17:E17"/>
    <mergeCell ref="C18:E18"/>
    <mergeCell ref="C19:E19"/>
    <mergeCell ref="C20:E20"/>
    <mergeCell ref="C21:E21"/>
    <mergeCell ref="C22:E22"/>
    <mergeCell ref="C23:E23"/>
    <mergeCell ref="C24:E24"/>
    <mergeCell ref="C25:E25"/>
    <mergeCell ref="G66:H66"/>
    <mergeCell ref="G67:H67"/>
    <mergeCell ref="G68:H68"/>
    <mergeCell ref="G69:H69"/>
    <mergeCell ref="G70:H70"/>
    <mergeCell ref="G71:H71"/>
    <mergeCell ref="A50:H50"/>
    <mergeCell ref="A51:H62"/>
    <mergeCell ref="B100:G100"/>
    <mergeCell ref="L35:O35"/>
    <mergeCell ref="G73:H73"/>
    <mergeCell ref="A96:D96"/>
    <mergeCell ref="E96:P96"/>
    <mergeCell ref="C81:E81"/>
    <mergeCell ref="C82:E82"/>
    <mergeCell ref="C83:E83"/>
    <mergeCell ref="C84:E84"/>
    <mergeCell ref="J54:O54"/>
    <mergeCell ref="J56:P58"/>
    <mergeCell ref="A64:P64"/>
    <mergeCell ref="G65:H65"/>
    <mergeCell ref="A44:E44"/>
    <mergeCell ref="J44:O44"/>
    <mergeCell ref="B45:E45"/>
    <mergeCell ref="B46:E46"/>
    <mergeCell ref="J46:P48"/>
    <mergeCell ref="B47:E47"/>
    <mergeCell ref="B48:E48"/>
    <mergeCell ref="B39:G39"/>
    <mergeCell ref="B40:G40"/>
    <mergeCell ref="A41:G41"/>
    <mergeCell ref="J41:O41"/>
    <mergeCell ref="B113:G113"/>
    <mergeCell ref="A114:G114"/>
    <mergeCell ref="J114:O114"/>
    <mergeCell ref="C74:E74"/>
    <mergeCell ref="C75:E75"/>
    <mergeCell ref="C76:E76"/>
    <mergeCell ref="C77:E77"/>
    <mergeCell ref="C78:E78"/>
    <mergeCell ref="C79:E79"/>
    <mergeCell ref="C80:E80"/>
    <mergeCell ref="B107:G107"/>
    <mergeCell ref="B108:G108"/>
    <mergeCell ref="B109:G109"/>
    <mergeCell ref="B110:G110"/>
    <mergeCell ref="B111:G111"/>
    <mergeCell ref="B112:G112"/>
    <mergeCell ref="B101:G101"/>
    <mergeCell ref="B102:G102"/>
    <mergeCell ref="B103:G103"/>
    <mergeCell ref="B104:G104"/>
    <mergeCell ref="B105:G105"/>
    <mergeCell ref="B106:G106"/>
    <mergeCell ref="A97:H97"/>
    <mergeCell ref="J97:P97"/>
    <mergeCell ref="C91:E91"/>
    <mergeCell ref="C92:E92"/>
    <mergeCell ref="C93:E93"/>
    <mergeCell ref="C94:E94"/>
    <mergeCell ref="L99:O99"/>
    <mergeCell ref="C85:E85"/>
    <mergeCell ref="C86:E86"/>
    <mergeCell ref="C87:E87"/>
    <mergeCell ref="C88:E88"/>
    <mergeCell ref="C89:E89"/>
    <mergeCell ref="C90:E90"/>
    <mergeCell ref="B98:G98"/>
    <mergeCell ref="L98:O98"/>
    <mergeCell ref="B99:G99"/>
  </mergeCells>
  <conditionalFormatting sqref="O32:P32">
    <cfRule type="expression" dxfId="0" priority="1">
      <formula>AND($O$31&gt;0,$O$32="")</formula>
    </cfRule>
  </conditionalFormatting>
  <dataValidations disablePrompts="1" count="1">
    <dataValidation type="list" allowBlank="1" showInputMessage="1" showErrorMessage="1" sqref="E6" xr:uid="{00000000-0002-0000-0300-000000000000}">
      <formula1>"X"</formula1>
    </dataValidation>
  </dataValidations>
  <hyperlinks>
    <hyperlink ref="I12" r:id="rId1" xr:uid="{00000000-0004-0000-0300-000000000000}"/>
    <hyperlink ref="E32" r:id="rId2" xr:uid="{00000000-0004-0000-0300-000001000000}"/>
    <hyperlink ref="E96" r:id="rId3" xr:uid="{00000000-0004-0000-0300-000002000000}"/>
  </hyperlinks>
  <pageMargins left="0.45" right="0.25" top="0.2" bottom="0.02" header="0" footer="0"/>
  <pageSetup scale="70" fitToHeight="2" orientation="portrait" verticalDpi="597" r:id="rId4"/>
  <headerFooter alignWithMargins="0"/>
  <rowBreaks count="1" manualBreakCount="1">
    <brk id="72" max="15" man="1"/>
  </rowBreaks>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58"/>
  <sheetViews>
    <sheetView view="pageBreakPreview" topLeftCell="A21" zoomScale="90" zoomScaleNormal="100" zoomScaleSheetLayoutView="90" workbookViewId="0">
      <selection activeCell="B8" sqref="B8"/>
    </sheetView>
  </sheetViews>
  <sheetFormatPr baseColWidth="10" defaultColWidth="9" defaultRowHeight="13" x14ac:dyDescent="0.15"/>
  <cols>
    <col min="1" max="1" width="10.1640625" style="72" customWidth="1"/>
    <col min="2" max="3" width="7.1640625" style="72" customWidth="1"/>
    <col min="4" max="4" width="6.6640625" style="72" customWidth="1"/>
    <col min="5" max="5" width="7.6640625" style="72" customWidth="1"/>
    <col min="6" max="6" width="9.33203125" style="72" customWidth="1"/>
    <col min="7" max="7" width="0.6640625" style="72" customWidth="1"/>
    <col min="8" max="8" width="11.1640625" style="72" customWidth="1"/>
    <col min="9" max="9" width="10.1640625" style="72" customWidth="1"/>
    <col min="10" max="10" width="9.5" style="72" customWidth="1"/>
    <col min="11" max="12" width="10.6640625" style="72" customWidth="1"/>
    <col min="13" max="13" width="9.6640625" style="72" customWidth="1"/>
    <col min="14" max="14" width="10.1640625" style="72" customWidth="1"/>
    <col min="15" max="16384" width="9" style="72"/>
  </cols>
  <sheetData>
    <row r="1" spans="1:16" s="113" customFormat="1" ht="23" x14ac:dyDescent="0.25">
      <c r="D1" s="115" t="s">
        <v>330</v>
      </c>
      <c r="E1" s="114"/>
      <c r="F1" s="114"/>
      <c r="G1" s="114"/>
      <c r="H1" s="114"/>
      <c r="I1" s="114"/>
      <c r="J1" s="114"/>
      <c r="K1" s="114"/>
      <c r="L1" s="114"/>
      <c r="M1" s="171"/>
    </row>
    <row r="2" spans="1:16" s="113" customFormat="1" ht="23" x14ac:dyDescent="0.25">
      <c r="D2" s="172" t="s">
        <v>333</v>
      </c>
      <c r="F2" s="171"/>
      <c r="G2" s="171"/>
      <c r="H2" s="171"/>
      <c r="I2" s="171"/>
      <c r="J2" s="171"/>
      <c r="K2" s="171"/>
      <c r="L2" s="171"/>
      <c r="M2" s="171"/>
    </row>
    <row r="3" spans="1:16" s="113" customFormat="1" ht="18" x14ac:dyDescent="0.2">
      <c r="D3" s="170"/>
    </row>
    <row r="4" spans="1:16" ht="23.25" customHeight="1" thickBot="1" x14ac:dyDescent="0.2">
      <c r="L4" s="169"/>
    </row>
    <row r="5" spans="1:16" ht="13.5" customHeight="1" thickBot="1" x14ac:dyDescent="0.2">
      <c r="A5" s="607" t="s">
        <v>328</v>
      </c>
      <c r="B5" s="608"/>
      <c r="C5" s="608"/>
      <c r="D5" s="609"/>
      <c r="E5" s="98"/>
      <c r="F5" s="644" t="s">
        <v>327</v>
      </c>
      <c r="G5" s="645"/>
      <c r="H5" s="645"/>
      <c r="I5" s="645"/>
      <c r="J5" s="645"/>
      <c r="K5" s="645"/>
      <c r="L5" s="645"/>
      <c r="M5" s="645"/>
      <c r="N5" s="646"/>
    </row>
    <row r="6" spans="1:16" ht="13.5" customHeight="1" thickBot="1" x14ac:dyDescent="0.2">
      <c r="A6" s="607" t="s">
        <v>326</v>
      </c>
      <c r="B6" s="608"/>
      <c r="C6" s="608"/>
      <c r="D6" s="609"/>
      <c r="E6" s="98"/>
      <c r="F6" s="647"/>
      <c r="G6" s="648"/>
      <c r="H6" s="648"/>
      <c r="I6" s="648"/>
      <c r="J6" s="648"/>
      <c r="K6" s="648"/>
      <c r="L6" s="648"/>
      <c r="M6" s="648"/>
      <c r="N6" s="649"/>
    </row>
    <row r="7" spans="1:16" x14ac:dyDescent="0.15">
      <c r="A7" s="106" t="s">
        <v>325</v>
      </c>
      <c r="B7" s="160" t="e">
        <f>+#REF!</f>
        <v>#REF!</v>
      </c>
      <c r="C7" s="109"/>
      <c r="D7" s="109"/>
      <c r="E7" s="168"/>
      <c r="F7" s="112" t="s">
        <v>324</v>
      </c>
      <c r="G7" s="167"/>
      <c r="H7" s="111" t="e">
        <f>+#REF!</f>
        <v>#REF!</v>
      </c>
      <c r="I7" s="166"/>
      <c r="J7" s="165"/>
      <c r="K7" s="619" t="s">
        <v>323</v>
      </c>
      <c r="L7" s="620"/>
      <c r="M7" s="164" t="e">
        <f>+#REF!</f>
        <v>#REF!</v>
      </c>
      <c r="N7" s="163"/>
    </row>
    <row r="8" spans="1:16" x14ac:dyDescent="0.15">
      <c r="A8" s="106" t="s">
        <v>322</v>
      </c>
      <c r="B8" s="110" t="e">
        <f>+#REF!</f>
        <v>#REF!</v>
      </c>
      <c r="C8" s="76"/>
      <c r="D8" s="76"/>
      <c r="E8" s="76"/>
      <c r="F8" s="155"/>
      <c r="G8" s="155"/>
      <c r="H8" s="106" t="s">
        <v>321</v>
      </c>
      <c r="I8" s="104" t="e">
        <f>+#REF!</f>
        <v>#REF!</v>
      </c>
      <c r="J8" s="155"/>
      <c r="K8" s="109"/>
      <c r="L8" s="162"/>
      <c r="M8" s="161"/>
      <c r="N8" s="157"/>
    </row>
    <row r="9" spans="1:16" x14ac:dyDescent="0.15">
      <c r="A9" s="106" t="s">
        <v>320</v>
      </c>
      <c r="B9" s="104" t="e">
        <f>+#REF!</f>
        <v>#REF!</v>
      </c>
      <c r="C9" s="105" t="s">
        <v>319</v>
      </c>
      <c r="D9" s="160" t="e">
        <f>+#REF!</f>
        <v>#REF!</v>
      </c>
      <c r="E9" s="155"/>
      <c r="F9" s="108" t="s">
        <v>318</v>
      </c>
      <c r="G9" s="159"/>
      <c r="I9" s="104" t="e">
        <f>+#REF!</f>
        <v>#REF!</v>
      </c>
      <c r="J9" s="155"/>
      <c r="K9" s="158"/>
      <c r="L9" s="105" t="s">
        <v>317</v>
      </c>
      <c r="M9" s="104" t="e">
        <f>+#REF!</f>
        <v>#REF!</v>
      </c>
      <c r="N9" s="157"/>
    </row>
    <row r="10" spans="1:16" x14ac:dyDescent="0.15">
      <c r="A10" s="107"/>
      <c r="B10" s="105" t="s">
        <v>316</v>
      </c>
      <c r="C10" s="104" t="e">
        <f>+#REF!</f>
        <v>#REF!</v>
      </c>
      <c r="D10" s="155"/>
      <c r="E10" s="155"/>
      <c r="F10" s="155"/>
      <c r="G10" s="155"/>
      <c r="H10" s="106" t="s">
        <v>315</v>
      </c>
      <c r="I10" s="104" t="e">
        <f>+#REF!</f>
        <v>#REF!</v>
      </c>
      <c r="J10" s="155"/>
      <c r="K10" s="106" t="s">
        <v>314</v>
      </c>
      <c r="L10" s="104" t="e">
        <f>+#REF!</f>
        <v>#REF!</v>
      </c>
      <c r="M10" s="155"/>
      <c r="N10" s="157"/>
    </row>
    <row r="11" spans="1:16" ht="14" thickBot="1" x14ac:dyDescent="0.2">
      <c r="A11" s="107"/>
      <c r="B11" s="156" t="s">
        <v>313</v>
      </c>
      <c r="C11" s="104" t="e">
        <f>+#REF!</f>
        <v>#REF!</v>
      </c>
      <c r="D11" s="109"/>
      <c r="E11" s="109"/>
      <c r="F11" s="155"/>
      <c r="G11" s="109"/>
      <c r="H11" s="109"/>
      <c r="I11" s="109"/>
      <c r="J11" s="109"/>
      <c r="K11" s="155"/>
      <c r="L11" s="109"/>
      <c r="M11" s="155"/>
      <c r="N11" s="154"/>
    </row>
    <row r="12" spans="1:16" ht="19.5" customHeight="1" thickBot="1" x14ac:dyDescent="0.2">
      <c r="A12" s="103"/>
      <c r="B12" s="102" t="s">
        <v>312</v>
      </c>
      <c r="C12" s="101" t="e">
        <f>+#REF!</f>
        <v>#REF!</v>
      </c>
      <c r="D12" s="565"/>
      <c r="E12" s="566"/>
      <c r="F12" s="566"/>
      <c r="G12" s="566"/>
      <c r="H12" s="567"/>
      <c r="I12" s="650" t="s">
        <v>311</v>
      </c>
      <c r="J12" s="651"/>
      <c r="K12" s="651"/>
      <c r="L12" s="651"/>
      <c r="M12" s="651"/>
      <c r="N12" s="652"/>
    </row>
    <row r="13" spans="1:16" ht="19.5" customHeight="1" thickBot="1" x14ac:dyDescent="0.2">
      <c r="A13" s="100"/>
      <c r="B13" s="99" t="s">
        <v>310</v>
      </c>
      <c r="C13" s="98" t="e">
        <f>+#REF!</f>
        <v>#REF!</v>
      </c>
      <c r="D13" s="574" t="s">
        <v>309</v>
      </c>
      <c r="E13" s="575"/>
      <c r="F13" s="575"/>
      <c r="G13" s="576"/>
      <c r="H13" s="153" t="e">
        <f>+#REF!</f>
        <v>#REF!</v>
      </c>
      <c r="I13" s="653"/>
      <c r="J13" s="654"/>
      <c r="K13" s="654"/>
      <c r="L13" s="654"/>
      <c r="M13" s="654"/>
      <c r="N13" s="655"/>
    </row>
    <row r="14" spans="1:16" ht="15" customHeight="1" thickBot="1" x14ac:dyDescent="0.2">
      <c r="A14" s="577" t="s">
        <v>308</v>
      </c>
      <c r="B14" s="578"/>
      <c r="C14" s="96"/>
      <c r="D14" s="97" t="s">
        <v>307</v>
      </c>
      <c r="E14" s="663" t="s">
        <v>306</v>
      </c>
      <c r="F14" s="664"/>
      <c r="G14" s="664"/>
      <c r="H14" s="664"/>
      <c r="I14" s="664"/>
      <c r="J14" s="664"/>
      <c r="K14" s="664"/>
      <c r="L14" s="664"/>
      <c r="M14" s="664"/>
      <c r="N14" s="665"/>
    </row>
    <row r="15" spans="1:16" ht="15.75" customHeight="1" thickBot="1" x14ac:dyDescent="0.2">
      <c r="A15" s="661"/>
      <c r="B15" s="662"/>
      <c r="C15" s="96"/>
      <c r="D15" s="95" t="s">
        <v>305</v>
      </c>
      <c r="E15" s="647"/>
      <c r="F15" s="648"/>
      <c r="G15" s="648"/>
      <c r="H15" s="648"/>
      <c r="I15" s="648"/>
      <c r="J15" s="648"/>
      <c r="K15" s="648"/>
      <c r="L15" s="648"/>
      <c r="M15" s="648"/>
      <c r="N15" s="649"/>
    </row>
    <row r="16" spans="1:16" s="91" customFormat="1" ht="26.25" customHeight="1" thickBot="1" x14ac:dyDescent="0.2">
      <c r="A16" s="73" t="s">
        <v>289</v>
      </c>
      <c r="B16" s="73" t="s">
        <v>304</v>
      </c>
      <c r="C16" s="92" t="s">
        <v>303</v>
      </c>
      <c r="D16" s="94"/>
      <c r="E16" s="94"/>
      <c r="F16" s="73" t="s">
        <v>302</v>
      </c>
      <c r="G16" s="484" t="s">
        <v>257</v>
      </c>
      <c r="H16" s="485"/>
      <c r="I16" s="93" t="s">
        <v>301</v>
      </c>
      <c r="J16" s="74" t="s">
        <v>300</v>
      </c>
      <c r="K16" s="73" t="s">
        <v>332</v>
      </c>
      <c r="L16" s="73" t="s">
        <v>298</v>
      </c>
      <c r="M16" s="92" t="s">
        <v>273</v>
      </c>
      <c r="N16" s="75" t="s">
        <v>297</v>
      </c>
      <c r="P16" s="91" t="s">
        <v>337</v>
      </c>
    </row>
    <row r="17" spans="1:26" ht="14.75" customHeight="1" x14ac:dyDescent="0.15">
      <c r="A17" s="87" t="str">
        <f>VLOOKUP(P17,Expenses!$AE$3:$AH$38,3,0)</f>
        <v/>
      </c>
      <c r="B17" s="187" t="str">
        <f>IF(AND($A17&lt;&gt;"",$A18=""),Request!$F$16,"")</f>
        <v/>
      </c>
      <c r="C17" s="666" t="str">
        <f>VLOOKUP($P17,Expenses!$AE$3:$AH$38,4,0)</f>
        <v/>
      </c>
      <c r="D17" s="666"/>
      <c r="E17" s="666"/>
      <c r="F17" s="179">
        <f>IFERROR(MROUND(H17/$H$13,0.1),0)</f>
        <v>0</v>
      </c>
      <c r="H17" s="180">
        <f t="shared" ref="H17" si="0">IF($A17="",0,SUMPRODUCT(($A17=Date)*($C17=City__State)*(Category=F$16)*(Total)))</f>
        <v>0</v>
      </c>
      <c r="I17" s="179">
        <f t="shared" ref="I17:M32" si="1">IF($A17="",0,SUMPRODUCT(($A17=Date)*($C17=City__State)*(Category=I$16)*(Total)))</f>
        <v>0</v>
      </c>
      <c r="J17" s="179">
        <f t="shared" si="1"/>
        <v>0</v>
      </c>
      <c r="K17" s="179">
        <f t="shared" si="1"/>
        <v>0</v>
      </c>
      <c r="L17" s="179">
        <f t="shared" si="1"/>
        <v>0</v>
      </c>
      <c r="M17" s="179">
        <f t="shared" si="1"/>
        <v>0</v>
      </c>
      <c r="N17" s="90">
        <f t="shared" ref="N17" si="2">ROUND(SUM(H17:M17),2)</f>
        <v>0</v>
      </c>
      <c r="P17" s="89" t="str">
        <f>IFERROR(SMALL(Expenses!$AE$3:$AE$38,ROW()-2),"")</f>
        <v/>
      </c>
      <c r="Q17" s="89"/>
      <c r="R17" s="89"/>
      <c r="S17" s="89"/>
      <c r="T17" s="89"/>
      <c r="U17" s="89"/>
      <c r="V17" s="89"/>
      <c r="W17" s="89"/>
      <c r="X17" s="89"/>
      <c r="Y17" s="89"/>
      <c r="Z17" s="89"/>
    </row>
    <row r="18" spans="1:26" x14ac:dyDescent="0.15">
      <c r="A18" s="87" t="str">
        <f>VLOOKUP(P18,Expenses!$AE$3:$AH$38,3,0)</f>
        <v/>
      </c>
      <c r="B18" s="187" t="str">
        <f>IF(AND($A18&lt;&gt;"",$A19=""),Request!$F$16,"")</f>
        <v/>
      </c>
      <c r="C18" s="667" t="str">
        <f>VLOOKUP($P18,Expenses!$AE$3:$AH$38,4,0)</f>
        <v/>
      </c>
      <c r="D18" s="667"/>
      <c r="E18" s="667"/>
      <c r="F18" s="179">
        <f t="shared" ref="F18:F37" si="3">IFERROR(MROUND(H18/$H$13,0.1),0)</f>
        <v>0</v>
      </c>
      <c r="H18" s="181">
        <f t="shared" ref="H18:H37" si="4">IF($A18="",0,SUMPRODUCT(($A18=Date)*($C18=City__State)*(Category=F$16)*(Total)))</f>
        <v>0</v>
      </c>
      <c r="I18" s="179">
        <f t="shared" si="1"/>
        <v>0</v>
      </c>
      <c r="J18" s="179">
        <f t="shared" si="1"/>
        <v>0</v>
      </c>
      <c r="K18" s="179">
        <f t="shared" si="1"/>
        <v>0</v>
      </c>
      <c r="L18" s="179">
        <f t="shared" si="1"/>
        <v>0</v>
      </c>
      <c r="M18" s="179">
        <f t="shared" si="1"/>
        <v>0</v>
      </c>
      <c r="N18" s="88">
        <f t="shared" ref="N18:N37" si="5">ROUND(SUM(H18:M18),2)</f>
        <v>0</v>
      </c>
      <c r="P18" s="72" t="str">
        <f>IFERROR(SMALL(Expenses!$AE$3:$AE$38,ROW()-2),"")</f>
        <v/>
      </c>
    </row>
    <row r="19" spans="1:26" x14ac:dyDescent="0.15">
      <c r="A19" s="87" t="str">
        <f>VLOOKUP(P19,Expenses!$AE$3:$AH$38,3,0)</f>
        <v/>
      </c>
      <c r="B19" s="187" t="str">
        <f>IF(AND($A19&lt;&gt;"",$A20=""),Request!$F$16,"")</f>
        <v/>
      </c>
      <c r="C19" s="667" t="str">
        <f>VLOOKUP($P19,Expenses!$AE$3:$AH$38,4,0)</f>
        <v/>
      </c>
      <c r="D19" s="667"/>
      <c r="E19" s="667"/>
      <c r="F19" s="179">
        <f t="shared" si="3"/>
        <v>0</v>
      </c>
      <c r="H19" s="181">
        <f t="shared" si="4"/>
        <v>0</v>
      </c>
      <c r="I19" s="179">
        <f t="shared" si="1"/>
        <v>0</v>
      </c>
      <c r="J19" s="179">
        <f t="shared" si="1"/>
        <v>0</v>
      </c>
      <c r="K19" s="179">
        <f t="shared" si="1"/>
        <v>0</v>
      </c>
      <c r="L19" s="179">
        <f t="shared" si="1"/>
        <v>0</v>
      </c>
      <c r="M19" s="179">
        <f t="shared" si="1"/>
        <v>0</v>
      </c>
      <c r="N19" s="88">
        <f t="shared" si="5"/>
        <v>0</v>
      </c>
      <c r="P19" s="72" t="str">
        <f>IFERROR(SMALL(Expenses!$AE$3:$AE$38,ROW()-2),"")</f>
        <v/>
      </c>
    </row>
    <row r="20" spans="1:26" x14ac:dyDescent="0.15">
      <c r="A20" s="87" t="str">
        <f>VLOOKUP(P20,Expenses!$AE$3:$AH$38,3,0)</f>
        <v/>
      </c>
      <c r="B20" s="187" t="str">
        <f>IF(AND($A20&lt;&gt;"",$A21=""),Request!$F$16,"")</f>
        <v/>
      </c>
      <c r="C20" s="667" t="str">
        <f>VLOOKUP($P20,Expenses!$AE$3:$AH$38,4,0)</f>
        <v/>
      </c>
      <c r="D20" s="667"/>
      <c r="E20" s="667"/>
      <c r="F20" s="179">
        <f t="shared" si="3"/>
        <v>0</v>
      </c>
      <c r="H20" s="181">
        <f t="shared" si="4"/>
        <v>0</v>
      </c>
      <c r="I20" s="179">
        <f t="shared" si="1"/>
        <v>0</v>
      </c>
      <c r="J20" s="179">
        <f t="shared" si="1"/>
        <v>0</v>
      </c>
      <c r="K20" s="179">
        <f t="shared" si="1"/>
        <v>0</v>
      </c>
      <c r="L20" s="179">
        <f t="shared" si="1"/>
        <v>0</v>
      </c>
      <c r="M20" s="179">
        <f t="shared" si="1"/>
        <v>0</v>
      </c>
      <c r="N20" s="88">
        <f t="shared" si="5"/>
        <v>0</v>
      </c>
      <c r="P20" s="72" t="str">
        <f>IFERROR(SMALL(Expenses!$AE$3:$AE$38,ROW()-2),"")</f>
        <v/>
      </c>
    </row>
    <row r="21" spans="1:26" x14ac:dyDescent="0.15">
      <c r="A21" s="87" t="str">
        <f>VLOOKUP(P21,Expenses!$AE$3:$AH$38,3,0)</f>
        <v/>
      </c>
      <c r="B21" s="187" t="str">
        <f>IF(AND($A21&lt;&gt;"",$A22=""),Request!$F$16,"")</f>
        <v/>
      </c>
      <c r="C21" s="667" t="str">
        <f>VLOOKUP($P21,Expenses!$AE$3:$AH$38,4,0)</f>
        <v/>
      </c>
      <c r="D21" s="667"/>
      <c r="E21" s="667"/>
      <c r="F21" s="179">
        <f t="shared" si="3"/>
        <v>0</v>
      </c>
      <c r="H21" s="181">
        <f t="shared" si="4"/>
        <v>0</v>
      </c>
      <c r="I21" s="179">
        <f t="shared" si="1"/>
        <v>0</v>
      </c>
      <c r="J21" s="179">
        <f t="shared" si="1"/>
        <v>0</v>
      </c>
      <c r="K21" s="179">
        <f t="shared" si="1"/>
        <v>0</v>
      </c>
      <c r="L21" s="179">
        <f t="shared" si="1"/>
        <v>0</v>
      </c>
      <c r="M21" s="179">
        <f t="shared" si="1"/>
        <v>0</v>
      </c>
      <c r="N21" s="88">
        <f t="shared" si="5"/>
        <v>0</v>
      </c>
      <c r="P21" s="72" t="str">
        <f>IFERROR(SMALL(Expenses!$AE$3:$AE$38,ROW()-2),"")</f>
        <v/>
      </c>
    </row>
    <row r="22" spans="1:26" x14ac:dyDescent="0.15">
      <c r="A22" s="87" t="str">
        <f>VLOOKUP(P22,Expenses!$AE$3:$AH$38,3,0)</f>
        <v/>
      </c>
      <c r="B22" s="187" t="str">
        <f>IF(AND($A22&lt;&gt;"",$A23=""),Request!$F$16,"")</f>
        <v/>
      </c>
      <c r="C22" s="667" t="str">
        <f>VLOOKUP($P22,Expenses!$AE$3:$AH$38,4,0)</f>
        <v/>
      </c>
      <c r="D22" s="667"/>
      <c r="E22" s="667"/>
      <c r="F22" s="179">
        <f t="shared" si="3"/>
        <v>0</v>
      </c>
      <c r="H22" s="181">
        <f t="shared" si="4"/>
        <v>0</v>
      </c>
      <c r="I22" s="179">
        <f t="shared" si="1"/>
        <v>0</v>
      </c>
      <c r="J22" s="179">
        <f t="shared" si="1"/>
        <v>0</v>
      </c>
      <c r="K22" s="179">
        <f t="shared" si="1"/>
        <v>0</v>
      </c>
      <c r="L22" s="179">
        <f t="shared" si="1"/>
        <v>0</v>
      </c>
      <c r="M22" s="179">
        <f t="shared" si="1"/>
        <v>0</v>
      </c>
      <c r="N22" s="88">
        <f t="shared" si="5"/>
        <v>0</v>
      </c>
      <c r="P22" s="72" t="str">
        <f>IFERROR(SMALL(Expenses!$AE$3:$AE$38,ROW()-2),"")</f>
        <v/>
      </c>
    </row>
    <row r="23" spans="1:26" x14ac:dyDescent="0.15">
      <c r="A23" s="87" t="str">
        <f>VLOOKUP(P23,Expenses!$AE$3:$AH$38,3,0)</f>
        <v/>
      </c>
      <c r="B23" s="187" t="str">
        <f>IF(AND($A23&lt;&gt;"",$A24=""),Request!$F$16,"")</f>
        <v/>
      </c>
      <c r="C23" s="667" t="str">
        <f>VLOOKUP($P23,Expenses!$AE$3:$AH$38,4,0)</f>
        <v/>
      </c>
      <c r="D23" s="667"/>
      <c r="E23" s="667"/>
      <c r="F23" s="179">
        <f t="shared" si="3"/>
        <v>0</v>
      </c>
      <c r="H23" s="181">
        <f t="shared" si="4"/>
        <v>0</v>
      </c>
      <c r="I23" s="179">
        <f t="shared" si="1"/>
        <v>0</v>
      </c>
      <c r="J23" s="179">
        <f t="shared" si="1"/>
        <v>0</v>
      </c>
      <c r="K23" s="179">
        <f t="shared" si="1"/>
        <v>0</v>
      </c>
      <c r="L23" s="179">
        <f t="shared" si="1"/>
        <v>0</v>
      </c>
      <c r="M23" s="179">
        <f t="shared" si="1"/>
        <v>0</v>
      </c>
      <c r="N23" s="88">
        <f t="shared" si="5"/>
        <v>0</v>
      </c>
      <c r="P23" s="72" t="str">
        <f>IFERROR(SMALL(Expenses!$AE$3:$AE$38,ROW()-2),"")</f>
        <v/>
      </c>
    </row>
    <row r="24" spans="1:26" x14ac:dyDescent="0.15">
      <c r="A24" s="87" t="str">
        <f>VLOOKUP(P24,Expenses!$AE$3:$AH$38,3,0)</f>
        <v/>
      </c>
      <c r="B24" s="187" t="str">
        <f>IF(AND($A24&lt;&gt;"",$A25=""),Request!$F$16,"")</f>
        <v/>
      </c>
      <c r="C24" s="667" t="str">
        <f>VLOOKUP($P24,Expenses!$AE$3:$AH$38,4,0)</f>
        <v/>
      </c>
      <c r="D24" s="667"/>
      <c r="E24" s="667"/>
      <c r="F24" s="179">
        <f t="shared" si="3"/>
        <v>0</v>
      </c>
      <c r="H24" s="181">
        <f t="shared" si="4"/>
        <v>0</v>
      </c>
      <c r="I24" s="179">
        <f t="shared" si="1"/>
        <v>0</v>
      </c>
      <c r="J24" s="179">
        <f t="shared" si="1"/>
        <v>0</v>
      </c>
      <c r="K24" s="179">
        <f t="shared" si="1"/>
        <v>0</v>
      </c>
      <c r="L24" s="179">
        <f t="shared" si="1"/>
        <v>0</v>
      </c>
      <c r="M24" s="179">
        <f t="shared" si="1"/>
        <v>0</v>
      </c>
      <c r="N24" s="88">
        <f t="shared" si="5"/>
        <v>0</v>
      </c>
      <c r="P24" s="72" t="str">
        <f>IFERROR(SMALL(Expenses!$AE$3:$AE$38,ROW()-2),"")</f>
        <v/>
      </c>
    </row>
    <row r="25" spans="1:26" x14ac:dyDescent="0.15">
      <c r="A25" s="87" t="str">
        <f>VLOOKUP(P25,Expenses!$AE$3:$AH$38,3,0)</f>
        <v/>
      </c>
      <c r="B25" s="187" t="str">
        <f>IF(AND($A25&lt;&gt;"",$A26=""),Request!$F$16,"")</f>
        <v/>
      </c>
      <c r="C25" s="667" t="str">
        <f>VLOOKUP($P25,Expenses!$AE$3:$AH$38,4,0)</f>
        <v/>
      </c>
      <c r="D25" s="667"/>
      <c r="E25" s="667"/>
      <c r="F25" s="179">
        <f t="shared" si="3"/>
        <v>0</v>
      </c>
      <c r="H25" s="181">
        <f t="shared" si="4"/>
        <v>0</v>
      </c>
      <c r="I25" s="179">
        <f t="shared" si="1"/>
        <v>0</v>
      </c>
      <c r="J25" s="179">
        <f t="shared" si="1"/>
        <v>0</v>
      </c>
      <c r="K25" s="179">
        <f t="shared" si="1"/>
        <v>0</v>
      </c>
      <c r="L25" s="179">
        <f t="shared" si="1"/>
        <v>0</v>
      </c>
      <c r="M25" s="179">
        <f t="shared" si="1"/>
        <v>0</v>
      </c>
      <c r="N25" s="88">
        <f t="shared" si="5"/>
        <v>0</v>
      </c>
      <c r="P25" s="72" t="str">
        <f>IFERROR(SMALL(Expenses!$AE$3:$AE$38,ROW()-2),"")</f>
        <v/>
      </c>
    </row>
    <row r="26" spans="1:26" x14ac:dyDescent="0.15">
      <c r="A26" s="87" t="str">
        <f>VLOOKUP(P26,Expenses!$AE$3:$AH$38,3,0)</f>
        <v/>
      </c>
      <c r="B26" s="187" t="str">
        <f>IF(AND($A26&lt;&gt;"",$A27=""),Request!$F$16,"")</f>
        <v/>
      </c>
      <c r="C26" s="667" t="str">
        <f>VLOOKUP($P26,Expenses!$AE$3:$AH$38,4,0)</f>
        <v/>
      </c>
      <c r="D26" s="667"/>
      <c r="E26" s="667"/>
      <c r="F26" s="179">
        <f t="shared" si="3"/>
        <v>0</v>
      </c>
      <c r="H26" s="181">
        <f t="shared" si="4"/>
        <v>0</v>
      </c>
      <c r="I26" s="179">
        <f t="shared" si="1"/>
        <v>0</v>
      </c>
      <c r="J26" s="179">
        <f t="shared" si="1"/>
        <v>0</v>
      </c>
      <c r="K26" s="179">
        <f t="shared" si="1"/>
        <v>0</v>
      </c>
      <c r="L26" s="179">
        <f t="shared" si="1"/>
        <v>0</v>
      </c>
      <c r="M26" s="179">
        <f t="shared" si="1"/>
        <v>0</v>
      </c>
      <c r="N26" s="88">
        <f t="shared" si="5"/>
        <v>0</v>
      </c>
      <c r="P26" s="72" t="str">
        <f>IFERROR(SMALL(Expenses!$AE$3:$AE$38,ROW()-2),"")</f>
        <v/>
      </c>
    </row>
    <row r="27" spans="1:26" x14ac:dyDescent="0.15">
      <c r="A27" s="87" t="str">
        <f>VLOOKUP(P27,Expenses!$AE$3:$AH$38,3,0)</f>
        <v/>
      </c>
      <c r="B27" s="187" t="str">
        <f>IF(AND($A27&lt;&gt;"",$A28=""),Request!$F$16,"")</f>
        <v/>
      </c>
      <c r="C27" s="667" t="str">
        <f>VLOOKUP($P27,Expenses!$AE$3:$AH$38,4,0)</f>
        <v/>
      </c>
      <c r="D27" s="667"/>
      <c r="E27" s="667"/>
      <c r="F27" s="179">
        <f t="shared" si="3"/>
        <v>0</v>
      </c>
      <c r="H27" s="181">
        <f t="shared" si="4"/>
        <v>0</v>
      </c>
      <c r="I27" s="179">
        <f t="shared" si="1"/>
        <v>0</v>
      </c>
      <c r="J27" s="179">
        <f t="shared" si="1"/>
        <v>0</v>
      </c>
      <c r="K27" s="179">
        <f t="shared" si="1"/>
        <v>0</v>
      </c>
      <c r="L27" s="179">
        <f t="shared" si="1"/>
        <v>0</v>
      </c>
      <c r="M27" s="179">
        <f t="shared" si="1"/>
        <v>0</v>
      </c>
      <c r="N27" s="88">
        <f t="shared" si="5"/>
        <v>0</v>
      </c>
      <c r="P27" s="72" t="str">
        <f>IFERROR(SMALL(Expenses!$AE$3:$AE$38,ROW()-2),"")</f>
        <v/>
      </c>
    </row>
    <row r="28" spans="1:26" x14ac:dyDescent="0.15">
      <c r="A28" s="87" t="str">
        <f>VLOOKUP(P28,Expenses!$AE$3:$AH$38,3,0)</f>
        <v/>
      </c>
      <c r="B28" s="187" t="str">
        <f>IF(AND($A28&lt;&gt;"",$A29=""),Request!$F$16,"")</f>
        <v/>
      </c>
      <c r="C28" s="667" t="str">
        <f>VLOOKUP($P28,Expenses!$AE$3:$AH$38,4,0)</f>
        <v/>
      </c>
      <c r="D28" s="667"/>
      <c r="E28" s="667"/>
      <c r="F28" s="179">
        <f t="shared" si="3"/>
        <v>0</v>
      </c>
      <c r="H28" s="181">
        <f t="shared" si="4"/>
        <v>0</v>
      </c>
      <c r="I28" s="179">
        <f t="shared" si="1"/>
        <v>0</v>
      </c>
      <c r="J28" s="179">
        <f t="shared" si="1"/>
        <v>0</v>
      </c>
      <c r="K28" s="179">
        <f t="shared" si="1"/>
        <v>0</v>
      </c>
      <c r="L28" s="179">
        <f t="shared" si="1"/>
        <v>0</v>
      </c>
      <c r="M28" s="179">
        <f t="shared" si="1"/>
        <v>0</v>
      </c>
      <c r="N28" s="88">
        <f t="shared" si="5"/>
        <v>0</v>
      </c>
      <c r="P28" s="72" t="str">
        <f>IFERROR(SMALL(Expenses!$AE$3:$AE$38,ROW()-2),"")</f>
        <v/>
      </c>
    </row>
    <row r="29" spans="1:26" x14ac:dyDescent="0.15">
      <c r="A29" s="87" t="str">
        <f>VLOOKUP(P29,Expenses!$AE$3:$AH$38,3,0)</f>
        <v/>
      </c>
      <c r="B29" s="187" t="str">
        <f>IF(AND($A29&lt;&gt;"",$A30=""),Request!$F$16,"")</f>
        <v/>
      </c>
      <c r="C29" s="667" t="str">
        <f>VLOOKUP($P29,Expenses!$AE$3:$AH$38,4,0)</f>
        <v/>
      </c>
      <c r="D29" s="667"/>
      <c r="E29" s="667"/>
      <c r="F29" s="179">
        <f t="shared" si="3"/>
        <v>0</v>
      </c>
      <c r="H29" s="181">
        <f t="shared" si="4"/>
        <v>0</v>
      </c>
      <c r="I29" s="179">
        <f t="shared" si="1"/>
        <v>0</v>
      </c>
      <c r="J29" s="179">
        <f t="shared" si="1"/>
        <v>0</v>
      </c>
      <c r="K29" s="179">
        <f t="shared" si="1"/>
        <v>0</v>
      </c>
      <c r="L29" s="179">
        <f t="shared" si="1"/>
        <v>0</v>
      </c>
      <c r="M29" s="179">
        <f t="shared" si="1"/>
        <v>0</v>
      </c>
      <c r="N29" s="88">
        <f t="shared" si="5"/>
        <v>0</v>
      </c>
      <c r="P29" s="72" t="str">
        <f>IFERROR(SMALL(Expenses!$AE$3:$AE$38,ROW()-2),"")</f>
        <v/>
      </c>
    </row>
    <row r="30" spans="1:26" x14ac:dyDescent="0.15">
      <c r="A30" s="87" t="str">
        <f>VLOOKUP(P30,Expenses!$AE$3:$AH$38,3,0)</f>
        <v/>
      </c>
      <c r="B30" s="187" t="str">
        <f>IF(AND($A30&lt;&gt;"",$A31=""),Request!$F$16,"")</f>
        <v/>
      </c>
      <c r="C30" s="667" t="str">
        <f>VLOOKUP($P30,Expenses!$AE$3:$AH$38,4,0)</f>
        <v/>
      </c>
      <c r="D30" s="667"/>
      <c r="E30" s="667"/>
      <c r="F30" s="179">
        <f t="shared" si="3"/>
        <v>0</v>
      </c>
      <c r="H30" s="181">
        <f t="shared" si="4"/>
        <v>0</v>
      </c>
      <c r="I30" s="179">
        <f t="shared" si="1"/>
        <v>0</v>
      </c>
      <c r="J30" s="179">
        <f t="shared" si="1"/>
        <v>0</v>
      </c>
      <c r="K30" s="179">
        <f t="shared" si="1"/>
        <v>0</v>
      </c>
      <c r="L30" s="179">
        <f t="shared" si="1"/>
        <v>0</v>
      </c>
      <c r="M30" s="179">
        <f t="shared" si="1"/>
        <v>0</v>
      </c>
      <c r="N30" s="88">
        <f t="shared" si="5"/>
        <v>0</v>
      </c>
      <c r="P30" s="72" t="str">
        <f>IFERROR(SMALL(Expenses!$AE$3:$AE$38,ROW()-2),"")</f>
        <v/>
      </c>
    </row>
    <row r="31" spans="1:26" x14ac:dyDescent="0.15">
      <c r="A31" s="87" t="str">
        <f>VLOOKUP(P31,Expenses!$AE$3:$AH$38,3,0)</f>
        <v/>
      </c>
      <c r="B31" s="187" t="str">
        <f>IF(AND($A31&lt;&gt;"",$A32=""),Request!$F$16,"")</f>
        <v/>
      </c>
      <c r="C31" s="667" t="str">
        <f>VLOOKUP($P31,Expenses!$AE$3:$AH$38,4,0)</f>
        <v/>
      </c>
      <c r="D31" s="667"/>
      <c r="E31" s="667"/>
      <c r="F31" s="179">
        <f t="shared" si="3"/>
        <v>0</v>
      </c>
      <c r="H31" s="181">
        <f t="shared" si="4"/>
        <v>0</v>
      </c>
      <c r="I31" s="179">
        <f t="shared" si="1"/>
        <v>0</v>
      </c>
      <c r="J31" s="179">
        <f t="shared" si="1"/>
        <v>0</v>
      </c>
      <c r="K31" s="179">
        <f t="shared" si="1"/>
        <v>0</v>
      </c>
      <c r="L31" s="179">
        <f t="shared" si="1"/>
        <v>0</v>
      </c>
      <c r="M31" s="179">
        <f t="shared" si="1"/>
        <v>0</v>
      </c>
      <c r="N31" s="88">
        <f t="shared" si="5"/>
        <v>0</v>
      </c>
      <c r="P31" s="72" t="str">
        <f>IFERROR(SMALL(Expenses!$AE$3:$AE$38,ROW()-2),"")</f>
        <v/>
      </c>
    </row>
    <row r="32" spans="1:26" x14ac:dyDescent="0.15">
      <c r="A32" s="87" t="str">
        <f>VLOOKUP(P32,Expenses!$AE$3:$AH$38,3,0)</f>
        <v/>
      </c>
      <c r="B32" s="187" t="str">
        <f>IF(AND($A32&lt;&gt;"",$A33=""),Request!$F$16,"")</f>
        <v/>
      </c>
      <c r="C32" s="667" t="str">
        <f>VLOOKUP($P32,Expenses!$AE$3:$AH$38,4,0)</f>
        <v/>
      </c>
      <c r="D32" s="667"/>
      <c r="E32" s="667"/>
      <c r="F32" s="179">
        <f t="shared" si="3"/>
        <v>0</v>
      </c>
      <c r="H32" s="181">
        <f t="shared" si="4"/>
        <v>0</v>
      </c>
      <c r="I32" s="179">
        <f t="shared" si="1"/>
        <v>0</v>
      </c>
      <c r="J32" s="179">
        <f t="shared" si="1"/>
        <v>0</v>
      </c>
      <c r="K32" s="179">
        <f t="shared" si="1"/>
        <v>0</v>
      </c>
      <c r="L32" s="179">
        <f t="shared" si="1"/>
        <v>0</v>
      </c>
      <c r="M32" s="179">
        <f t="shared" si="1"/>
        <v>0</v>
      </c>
      <c r="N32" s="88">
        <f t="shared" si="5"/>
        <v>0</v>
      </c>
      <c r="P32" s="72" t="str">
        <f>IFERROR(SMALL(Expenses!$AE$3:$AE$38,ROW()-2),"")</f>
        <v/>
      </c>
    </row>
    <row r="33" spans="1:30" x14ac:dyDescent="0.15">
      <c r="A33" s="87" t="str">
        <f>VLOOKUP(P33,Expenses!$AE$3:$AH$38,3,0)</f>
        <v/>
      </c>
      <c r="B33" s="187" t="str">
        <f>IF(AND($A33&lt;&gt;"",$A34=""),Request!$F$16,"")</f>
        <v/>
      </c>
      <c r="C33" s="667" t="str">
        <f>VLOOKUP($P33,Expenses!$AE$3:$AH$38,4,0)</f>
        <v/>
      </c>
      <c r="D33" s="667"/>
      <c r="E33" s="667"/>
      <c r="F33" s="179">
        <f t="shared" si="3"/>
        <v>0</v>
      </c>
      <c r="H33" s="181">
        <f t="shared" si="4"/>
        <v>0</v>
      </c>
      <c r="I33" s="179">
        <f t="shared" ref="I33:M37" si="6">IF($A33="",0,SUMPRODUCT(($A33=Date)*($C33=City__State)*(Category=I$16)*(Total)))</f>
        <v>0</v>
      </c>
      <c r="J33" s="179">
        <f t="shared" si="6"/>
        <v>0</v>
      </c>
      <c r="K33" s="179">
        <f t="shared" si="6"/>
        <v>0</v>
      </c>
      <c r="L33" s="179">
        <f t="shared" si="6"/>
        <v>0</v>
      </c>
      <c r="M33" s="179">
        <f t="shared" si="6"/>
        <v>0</v>
      </c>
      <c r="N33" s="88">
        <f t="shared" si="5"/>
        <v>0</v>
      </c>
      <c r="P33" s="72" t="str">
        <f>IFERROR(SMALL(Expenses!$AE$3:$AE$38,ROW()-2),"")</f>
        <v/>
      </c>
    </row>
    <row r="34" spans="1:30" x14ac:dyDescent="0.15">
      <c r="A34" s="87" t="str">
        <f>VLOOKUP(P34,Expenses!$AE$3:$AH$38,3,0)</f>
        <v/>
      </c>
      <c r="B34" s="187" t="str">
        <f>IF(AND($A34&lt;&gt;"",$A35=""),Request!$F$16,"")</f>
        <v/>
      </c>
      <c r="C34" s="667" t="str">
        <f>VLOOKUP($P34,Expenses!$AE$3:$AH$38,4,0)</f>
        <v/>
      </c>
      <c r="D34" s="667"/>
      <c r="E34" s="667"/>
      <c r="F34" s="179">
        <f t="shared" si="3"/>
        <v>0</v>
      </c>
      <c r="H34" s="181">
        <f t="shared" si="4"/>
        <v>0</v>
      </c>
      <c r="I34" s="179">
        <f t="shared" si="6"/>
        <v>0</v>
      </c>
      <c r="J34" s="179">
        <f t="shared" si="6"/>
        <v>0</v>
      </c>
      <c r="K34" s="179">
        <f t="shared" si="6"/>
        <v>0</v>
      </c>
      <c r="L34" s="179">
        <f t="shared" si="6"/>
        <v>0</v>
      </c>
      <c r="M34" s="179">
        <f t="shared" si="6"/>
        <v>0</v>
      </c>
      <c r="N34" s="88">
        <f t="shared" si="5"/>
        <v>0</v>
      </c>
      <c r="P34" s="72" t="str">
        <f>IFERROR(SMALL(Expenses!$AE$3:$AE$38,ROW()-2),"")</f>
        <v/>
      </c>
    </row>
    <row r="35" spans="1:30" x14ac:dyDescent="0.15">
      <c r="A35" s="87" t="str">
        <f>VLOOKUP(P35,Expenses!$AE$3:$AH$38,3,0)</f>
        <v/>
      </c>
      <c r="B35" s="187" t="str">
        <f>IF(AND($A35&lt;&gt;"",$A36=""),Request!$F$16,"")</f>
        <v/>
      </c>
      <c r="C35" s="667" t="str">
        <f>VLOOKUP($P35,Expenses!$AE$3:$AH$38,4,0)</f>
        <v/>
      </c>
      <c r="D35" s="667"/>
      <c r="E35" s="667"/>
      <c r="F35" s="179">
        <f t="shared" si="3"/>
        <v>0</v>
      </c>
      <c r="H35" s="181">
        <f t="shared" si="4"/>
        <v>0</v>
      </c>
      <c r="I35" s="179">
        <f t="shared" si="6"/>
        <v>0</v>
      </c>
      <c r="J35" s="179">
        <f t="shared" si="6"/>
        <v>0</v>
      </c>
      <c r="K35" s="179">
        <f t="shared" si="6"/>
        <v>0</v>
      </c>
      <c r="L35" s="179">
        <f t="shared" si="6"/>
        <v>0</v>
      </c>
      <c r="M35" s="179">
        <f t="shared" si="6"/>
        <v>0</v>
      </c>
      <c r="N35" s="88">
        <f t="shared" si="5"/>
        <v>0</v>
      </c>
      <c r="P35" s="72" t="str">
        <f>IFERROR(SMALL(Expenses!$AE$3:$AE$38,ROW()-2),"")</f>
        <v/>
      </c>
    </row>
    <row r="36" spans="1:30" x14ac:dyDescent="0.15">
      <c r="A36" s="87" t="str">
        <f>VLOOKUP(P36,Expenses!$AE$3:$AH$38,3,0)</f>
        <v/>
      </c>
      <c r="B36" s="187" t="str">
        <f>IF(AND($A36&lt;&gt;"",$A37=""),Request!$F$16,"")</f>
        <v/>
      </c>
      <c r="C36" s="667" t="str">
        <f>VLOOKUP($P36,Expenses!$AE$3:$AH$38,4,0)</f>
        <v/>
      </c>
      <c r="D36" s="667"/>
      <c r="E36" s="667"/>
      <c r="F36" s="179">
        <f t="shared" si="3"/>
        <v>0</v>
      </c>
      <c r="H36" s="181">
        <f t="shared" si="4"/>
        <v>0</v>
      </c>
      <c r="I36" s="179">
        <f t="shared" si="6"/>
        <v>0</v>
      </c>
      <c r="J36" s="179">
        <f t="shared" si="6"/>
        <v>0</v>
      </c>
      <c r="K36" s="179">
        <f t="shared" si="6"/>
        <v>0</v>
      </c>
      <c r="L36" s="179">
        <f t="shared" si="6"/>
        <v>0</v>
      </c>
      <c r="M36" s="179">
        <f t="shared" si="6"/>
        <v>0</v>
      </c>
      <c r="N36" s="88">
        <f t="shared" si="5"/>
        <v>0</v>
      </c>
      <c r="P36" s="72" t="str">
        <f>IFERROR(SMALL(Expenses!$AE$3:$AE$38,ROW()-2),"")</f>
        <v/>
      </c>
    </row>
    <row r="37" spans="1:30" ht="14" thickBot="1" x14ac:dyDescent="0.2">
      <c r="A37" s="87" t="str">
        <f>VLOOKUP(P37,Expenses!$AE$3:$AH$38,3,0)</f>
        <v/>
      </c>
      <c r="B37" s="187" t="str">
        <f>IF(AND($A37&lt;&gt;"",$A38=""),Request!$F$16,"")</f>
        <v/>
      </c>
      <c r="C37" s="667" t="str">
        <f>VLOOKUP($P37,Expenses!$AE$3:$AH$38,4,0)</f>
        <v/>
      </c>
      <c r="D37" s="667"/>
      <c r="E37" s="667"/>
      <c r="F37" s="179">
        <f t="shared" si="3"/>
        <v>0</v>
      </c>
      <c r="H37" s="181">
        <f t="shared" si="4"/>
        <v>0</v>
      </c>
      <c r="I37" s="179">
        <f t="shared" si="6"/>
        <v>0</v>
      </c>
      <c r="J37" s="179">
        <f t="shared" si="6"/>
        <v>0</v>
      </c>
      <c r="K37" s="179">
        <f t="shared" si="6"/>
        <v>0</v>
      </c>
      <c r="L37" s="179">
        <f t="shared" si="6"/>
        <v>0</v>
      </c>
      <c r="M37" s="179">
        <f t="shared" si="6"/>
        <v>0</v>
      </c>
      <c r="N37" s="88">
        <f t="shared" si="5"/>
        <v>0</v>
      </c>
      <c r="P37" s="72" t="str">
        <f>IFERROR(SMALL(Expenses!$AE$3:$AE$38,ROW()-2),"")</f>
        <v/>
      </c>
    </row>
    <row r="38" spans="1:30" ht="14" thickBot="1" x14ac:dyDescent="0.2">
      <c r="A38" s="562" t="s">
        <v>331</v>
      </c>
      <c r="B38" s="563"/>
      <c r="C38" s="563"/>
      <c r="D38" s="563"/>
      <c r="E38" s="564"/>
      <c r="F38" s="152">
        <f>ROUND(SUM(F17:F37),0)</f>
        <v>0</v>
      </c>
      <c r="G38" s="151"/>
      <c r="H38" s="149">
        <f t="shared" ref="H38:N38" si="7">ROUND(SUM(H17:H37),2)</f>
        <v>0</v>
      </c>
      <c r="I38" s="150">
        <f t="shared" si="7"/>
        <v>0</v>
      </c>
      <c r="J38" s="150">
        <f t="shared" si="7"/>
        <v>0</v>
      </c>
      <c r="K38" s="150">
        <f t="shared" si="7"/>
        <v>0</v>
      </c>
      <c r="L38" s="150">
        <f t="shared" si="7"/>
        <v>0</v>
      </c>
      <c r="M38" s="150">
        <f t="shared" si="7"/>
        <v>0</v>
      </c>
      <c r="N38" s="149">
        <f t="shared" si="7"/>
        <v>0</v>
      </c>
    </row>
    <row r="39" spans="1:30" ht="22.5" customHeight="1" thickBot="1" x14ac:dyDescent="0.2">
      <c r="A39" s="656" t="s">
        <v>294</v>
      </c>
      <c r="B39" s="657"/>
      <c r="C39" s="657"/>
      <c r="D39" s="657"/>
      <c r="E39" s="657"/>
      <c r="F39" s="657"/>
      <c r="G39" s="658"/>
      <c r="H39" s="659" t="s">
        <v>293</v>
      </c>
      <c r="I39" s="659"/>
      <c r="J39" s="659"/>
      <c r="K39" s="659"/>
      <c r="L39" s="659"/>
      <c r="M39" s="659"/>
      <c r="N39" s="660"/>
    </row>
    <row r="40" spans="1:30" ht="14" thickBot="1" x14ac:dyDescent="0.2">
      <c r="A40" s="148" t="s">
        <v>292</v>
      </c>
      <c r="B40" s="147"/>
      <c r="C40" s="147"/>
      <c r="D40" s="147"/>
      <c r="E40" s="146"/>
      <c r="F40" s="145"/>
      <c r="H40" s="562" t="s">
        <v>291</v>
      </c>
      <c r="I40" s="563"/>
      <c r="J40" s="563"/>
      <c r="K40" s="563"/>
      <c r="L40" s="563"/>
      <c r="M40" s="563"/>
      <c r="N40" s="564"/>
      <c r="Q40" s="139"/>
      <c r="R40" s="139"/>
      <c r="S40" s="139"/>
      <c r="T40" s="139"/>
      <c r="V40" s="128"/>
      <c r="W40" s="128"/>
      <c r="X40" s="128"/>
      <c r="Y40" s="128"/>
      <c r="Z40" s="128"/>
      <c r="AA40" s="128"/>
      <c r="AB40" s="128"/>
      <c r="AC40" s="128"/>
      <c r="AD40" s="128"/>
    </row>
    <row r="41" spans="1:30" ht="14" thickBot="1" x14ac:dyDescent="0.2">
      <c r="A41" s="142" t="s">
        <v>289</v>
      </c>
      <c r="B41" s="144" t="s">
        <v>290</v>
      </c>
      <c r="C41" s="143"/>
      <c r="D41" s="140"/>
      <c r="E41" s="143"/>
      <c r="F41" s="142" t="s">
        <v>257</v>
      </c>
      <c r="G41" s="138"/>
      <c r="H41" s="142" t="s">
        <v>289</v>
      </c>
      <c r="I41" s="141" t="s">
        <v>288</v>
      </c>
      <c r="J41" s="562" t="s">
        <v>287</v>
      </c>
      <c r="K41" s="563"/>
      <c r="L41" s="563"/>
      <c r="M41" s="564"/>
      <c r="N41" s="140" t="s">
        <v>257</v>
      </c>
      <c r="P41" s="72" t="s">
        <v>340</v>
      </c>
      <c r="Q41" s="139"/>
      <c r="R41" s="139"/>
      <c r="S41" s="139"/>
      <c r="T41" s="139"/>
      <c r="V41" s="128"/>
      <c r="W41" s="128"/>
      <c r="X41" s="128"/>
      <c r="Y41" s="128"/>
      <c r="Z41" s="128"/>
      <c r="AA41" s="128"/>
      <c r="AB41" s="128"/>
      <c r="AC41" s="128"/>
      <c r="AD41" s="128"/>
    </row>
    <row r="42" spans="1:30" ht="12.75" customHeight="1" thickBot="1" x14ac:dyDescent="0.2">
      <c r="A42" s="86" t="str">
        <f>IFERROR(VLOOKUP($P42,Expenses!$B$3:$O$31,2,0),"")</f>
        <v/>
      </c>
      <c r="B42" s="626" t="str">
        <f>IFERROR(VLOOKUP($P42,Expenses!$B$3:$O$31,9,0),"")</f>
        <v/>
      </c>
      <c r="C42" s="627"/>
      <c r="D42" s="627"/>
      <c r="E42" s="628"/>
      <c r="F42" s="84" t="str">
        <f>IFERROR(VLOOKUP($P42,Expenses!$B$3:$O$31,11,0),"")</f>
        <v/>
      </c>
      <c r="G42" s="79"/>
      <c r="H42" s="86" t="str">
        <f>IFERROR(VLOOKUP($P42,Expenses!$A$3:$O$31,3,0),"")</f>
        <v/>
      </c>
      <c r="I42" s="85" t="str">
        <f t="shared" ref="I42" si="8">IF(H42="","","PCARD")</f>
        <v/>
      </c>
      <c r="J42" s="623" t="str">
        <f>IFERROR(VLOOKUP($P42,Expenses!$A$3:$O$31,8,0)&amp;"-"&amp;VLOOKUP($P42,Expenses!$A$3:$O$31,9,0),"")</f>
        <v/>
      </c>
      <c r="K42" s="624"/>
      <c r="L42" s="624"/>
      <c r="M42" s="625"/>
      <c r="N42" s="84" t="str">
        <f>IFERROR(VLOOKUP($P42,Expenses!$A$3:$O$31,12,0),"")</f>
        <v/>
      </c>
      <c r="P42" s="72">
        <v>7</v>
      </c>
      <c r="Q42" s="133"/>
      <c r="R42" s="135"/>
      <c r="S42" s="91"/>
      <c r="T42" s="91"/>
      <c r="U42" s="91"/>
      <c r="V42" s="133"/>
      <c r="W42" s="135"/>
      <c r="X42" s="91"/>
      <c r="Y42" s="91"/>
      <c r="Z42" s="91"/>
      <c r="AA42" s="138"/>
      <c r="AB42" s="138"/>
      <c r="AC42" s="136"/>
      <c r="AD42" s="91"/>
    </row>
    <row r="43" spans="1:30" ht="12.75" customHeight="1" thickBot="1" x14ac:dyDescent="0.2">
      <c r="A43" s="83" t="str">
        <f>IFERROR(VLOOKUP($P43,Expenses!$B$3:$O$31,2,0),"")</f>
        <v/>
      </c>
      <c r="B43" s="632" t="str">
        <f>IFERROR(VLOOKUP($P43,Expenses!$B$3:$O$31,9,0),"")</f>
        <v/>
      </c>
      <c r="C43" s="633"/>
      <c r="D43" s="633"/>
      <c r="E43" s="634"/>
      <c r="F43" s="82" t="str">
        <f>IFERROR(VLOOKUP($P43,Expenses!$B$3:$O$31,10,0),"")</f>
        <v/>
      </c>
      <c r="G43" s="116"/>
      <c r="H43" s="83" t="str">
        <f>IFERROR(VLOOKUP($P43,Expenses!$A$3:$O$31,3,0),"")</f>
        <v/>
      </c>
      <c r="I43" s="125" t="str">
        <f t="shared" ref="I43:I56" si="9">IF(H43="","","PCARD")</f>
        <v/>
      </c>
      <c r="J43" s="629" t="str">
        <f>IFERROR(VLOOKUP($P43,Expenses!$A$3:$O$31,8,0)&amp;"-"&amp;VLOOKUP($P43,Expenses!$A$3:$O$31,9,0),"")</f>
        <v/>
      </c>
      <c r="K43" s="630"/>
      <c r="L43" s="630"/>
      <c r="M43" s="631"/>
      <c r="N43" s="84" t="str">
        <f>IFERROR(VLOOKUP($P43,Expenses!$A$3:$O$31,12,0),"")</f>
        <v/>
      </c>
      <c r="P43" s="72">
        <v>8</v>
      </c>
      <c r="Q43" s="133"/>
      <c r="R43" s="91"/>
      <c r="S43" s="135"/>
      <c r="T43" s="91"/>
      <c r="U43" s="91"/>
      <c r="V43" s="91"/>
      <c r="W43" s="91"/>
      <c r="Y43" s="135"/>
      <c r="Z43" s="133"/>
      <c r="AA43" s="91"/>
      <c r="AB43" s="133"/>
      <c r="AC43" s="136"/>
      <c r="AD43" s="91"/>
    </row>
    <row r="44" spans="1:30" ht="12.75" customHeight="1" thickBot="1" x14ac:dyDescent="0.2">
      <c r="A44" s="83" t="str">
        <f>IFERROR(VLOOKUP($P44,Expenses!$B$3:$O$31,2,0),"")</f>
        <v/>
      </c>
      <c r="B44" s="632" t="str">
        <f>IFERROR(VLOOKUP($P44,Expenses!$B$3:$O$31,9,0),"")</f>
        <v/>
      </c>
      <c r="C44" s="633"/>
      <c r="D44" s="633"/>
      <c r="E44" s="634"/>
      <c r="F44" s="82" t="str">
        <f>IFERROR(VLOOKUP($P44,Expenses!$B$3:$O$31,10,0),"")</f>
        <v/>
      </c>
      <c r="G44" s="116"/>
      <c r="H44" s="83" t="str">
        <f>IFERROR(VLOOKUP($P44,Expenses!$A$3:$O$31,3,0),"")</f>
        <v/>
      </c>
      <c r="I44" s="125" t="str">
        <f t="shared" si="9"/>
        <v/>
      </c>
      <c r="J44" s="629" t="str">
        <f>IFERROR(VLOOKUP($P44,Expenses!$A$3:$O$31,8,0)&amp;"-"&amp;VLOOKUP($P44,Expenses!$A$3:$O$31,9,0),"")</f>
        <v/>
      </c>
      <c r="K44" s="630"/>
      <c r="L44" s="630"/>
      <c r="M44" s="631"/>
      <c r="N44" s="84" t="str">
        <f>IFERROR(VLOOKUP($P44,Expenses!$A$3:$O$31,12,0),"")</f>
        <v/>
      </c>
      <c r="P44" s="72">
        <v>9</v>
      </c>
      <c r="Q44" s="133"/>
      <c r="R44" s="135"/>
      <c r="S44" s="133"/>
      <c r="T44" s="136"/>
      <c r="U44" s="91"/>
      <c r="V44" s="137"/>
      <c r="W44" s="91"/>
      <c r="X44" s="91"/>
      <c r="Y44" s="135"/>
      <c r="Z44" s="91"/>
      <c r="AA44" s="91"/>
      <c r="AB44" s="133"/>
      <c r="AC44" s="136"/>
      <c r="AD44" s="91"/>
    </row>
    <row r="45" spans="1:30" ht="12.75" customHeight="1" thickBot="1" x14ac:dyDescent="0.2">
      <c r="A45" s="83" t="str">
        <f>IFERROR(VLOOKUP($P45,Expenses!$B$3:$O$31,2,0),"")</f>
        <v/>
      </c>
      <c r="B45" s="632" t="str">
        <f>IFERROR(VLOOKUP($P45,Expenses!$B$3:$O$31,9,0),"")</f>
        <v/>
      </c>
      <c r="C45" s="633"/>
      <c r="D45" s="633"/>
      <c r="E45" s="634"/>
      <c r="F45" s="82" t="str">
        <f>IFERROR(VLOOKUP($P45,Expenses!$B$3:$O$31,10,0),"")</f>
        <v/>
      </c>
      <c r="G45" s="116"/>
      <c r="H45" s="83" t="str">
        <f>IFERROR(VLOOKUP($P45,Expenses!$A$3:$O$31,3,0),"")</f>
        <v/>
      </c>
      <c r="I45" s="125" t="str">
        <f t="shared" si="9"/>
        <v/>
      </c>
      <c r="J45" s="629" t="str">
        <f>IFERROR(VLOOKUP($P45,Expenses!$A$3:$O$31,8,0)&amp;"-"&amp;VLOOKUP($P45,Expenses!$A$3:$O$31,9,0),"")</f>
        <v/>
      </c>
      <c r="K45" s="630"/>
      <c r="L45" s="630"/>
      <c r="M45" s="631"/>
      <c r="N45" s="84" t="str">
        <f>IFERROR(VLOOKUP($P45,Expenses!$A$3:$O$31,12,0),"")</f>
        <v/>
      </c>
      <c r="P45" s="72">
        <v>10</v>
      </c>
      <c r="Q45" s="133"/>
      <c r="R45" s="135"/>
      <c r="S45" s="133"/>
      <c r="T45" s="136"/>
      <c r="U45" s="91"/>
      <c r="V45" s="137"/>
      <c r="W45" s="91"/>
      <c r="X45" s="91"/>
      <c r="Y45" s="135"/>
      <c r="Z45" s="91"/>
      <c r="AA45" s="91"/>
      <c r="AB45" s="133"/>
      <c r="AC45" s="136"/>
      <c r="AD45" s="91"/>
    </row>
    <row r="46" spans="1:30" ht="12.75" customHeight="1" thickBot="1" x14ac:dyDescent="0.2">
      <c r="A46" s="83" t="str">
        <f>IFERROR(VLOOKUP($P46,Expenses!$B$3:$O$31,2,0),"")</f>
        <v/>
      </c>
      <c r="B46" s="632" t="str">
        <f>IFERROR(VLOOKUP($P46,Expenses!$B$3:$O$31,9,0),"")</f>
        <v/>
      </c>
      <c r="C46" s="633"/>
      <c r="D46" s="633"/>
      <c r="E46" s="634"/>
      <c r="F46" s="82" t="str">
        <f>IFERROR(VLOOKUP($P46,Expenses!$B$3:$O$31,10,0),"")</f>
        <v/>
      </c>
      <c r="G46" s="116"/>
      <c r="H46" s="83" t="str">
        <f>IFERROR(VLOOKUP($P46,Expenses!$A$3:$O$31,3,0),"")</f>
        <v/>
      </c>
      <c r="I46" s="125" t="str">
        <f t="shared" si="9"/>
        <v/>
      </c>
      <c r="J46" s="629" t="str">
        <f>IFERROR(VLOOKUP($P46,Expenses!$A$3:$O$31,8,0)&amp;"-"&amp;VLOOKUP($P46,Expenses!$A$3:$O$31,9,0),"")</f>
        <v/>
      </c>
      <c r="K46" s="630"/>
      <c r="L46" s="630"/>
      <c r="M46" s="631"/>
      <c r="N46" s="84" t="str">
        <f>IFERROR(VLOOKUP($P46,Expenses!$A$3:$O$31,12,0),"")</f>
        <v/>
      </c>
      <c r="P46" s="72">
        <v>11</v>
      </c>
      <c r="Q46" s="91"/>
      <c r="R46" s="133"/>
      <c r="S46" s="135"/>
      <c r="T46" s="91"/>
      <c r="U46" s="91"/>
      <c r="V46" s="91"/>
      <c r="W46" s="91"/>
      <c r="X46" s="133"/>
      <c r="Y46" s="135"/>
      <c r="Z46" s="91"/>
      <c r="AA46" s="133"/>
      <c r="AB46" s="135"/>
      <c r="AC46" s="91"/>
      <c r="AD46" s="91"/>
    </row>
    <row r="47" spans="1:30" ht="12.75" customHeight="1" thickBot="1" x14ac:dyDescent="0.2">
      <c r="A47" s="83" t="str">
        <f>IFERROR(VLOOKUP($P47,Expenses!$B$3:$O$31,2,0),"")</f>
        <v/>
      </c>
      <c r="B47" s="626" t="str">
        <f>IFERROR(VLOOKUP($P47,Expenses!$B$3:$O$31,9,0),"")</f>
        <v/>
      </c>
      <c r="C47" s="627"/>
      <c r="D47" s="627"/>
      <c r="E47" s="628"/>
      <c r="F47" s="82" t="str">
        <f>IFERROR(VLOOKUP($P47,Expenses!$B$3:$O$31,10,0),"")</f>
        <v/>
      </c>
      <c r="G47" s="116"/>
      <c r="H47" s="83" t="str">
        <f>IFERROR(VLOOKUP($P47,Expenses!$A$3:$O$31,3,0),"")</f>
        <v/>
      </c>
      <c r="I47" s="125" t="str">
        <f t="shared" si="9"/>
        <v/>
      </c>
      <c r="J47" s="629" t="str">
        <f>IFERROR(VLOOKUP($P47,Expenses!$A$3:$O$31,8,0)&amp;"-"&amp;VLOOKUP($P47,Expenses!$A$3:$O$31,9,0),"")</f>
        <v/>
      </c>
      <c r="K47" s="630"/>
      <c r="L47" s="630"/>
      <c r="M47" s="631"/>
      <c r="N47" s="84" t="str">
        <f>IFERROR(VLOOKUP($P47,Expenses!$A$3:$O$31,12,0),"")</f>
        <v/>
      </c>
      <c r="P47" s="72">
        <v>12</v>
      </c>
      <c r="Q47" s="91"/>
      <c r="R47" s="133"/>
      <c r="S47" s="135"/>
      <c r="T47" s="91"/>
      <c r="U47" s="91"/>
      <c r="V47" s="91"/>
      <c r="W47" s="91"/>
      <c r="X47" s="91"/>
      <c r="Y47" s="91"/>
      <c r="Z47" s="91"/>
      <c r="AA47" s="91"/>
      <c r="AB47" s="91"/>
      <c r="AC47" s="91"/>
      <c r="AD47" s="91"/>
    </row>
    <row r="48" spans="1:30" ht="12.75" customHeight="1" thickBot="1" x14ac:dyDescent="0.2">
      <c r="A48" s="83" t="str">
        <f>IFERROR(VLOOKUP($P48,Expenses!$B$3:$O$31,2,0),"")</f>
        <v/>
      </c>
      <c r="B48" s="626" t="str">
        <f>IFERROR(VLOOKUP($P48,Expenses!$B$3:$O$31,9,0),"")</f>
        <v/>
      </c>
      <c r="C48" s="627"/>
      <c r="D48" s="627"/>
      <c r="E48" s="628"/>
      <c r="F48" s="82" t="str">
        <f>IFERROR(VLOOKUP($P48,Expenses!$B$3:$O$31,10,0),"")</f>
        <v/>
      </c>
      <c r="G48" s="116"/>
      <c r="H48" s="83" t="str">
        <f>IFERROR(VLOOKUP($P48,Expenses!$A$3:$O$31,3,0),"")</f>
        <v/>
      </c>
      <c r="I48" s="125" t="str">
        <f t="shared" si="9"/>
        <v/>
      </c>
      <c r="J48" s="629" t="str">
        <f>IFERROR(VLOOKUP($P48,Expenses!$A$3:$O$31,8,0)&amp;"-"&amp;VLOOKUP($P48,Expenses!$A$3:$O$31,9,0),"")</f>
        <v/>
      </c>
      <c r="K48" s="630"/>
      <c r="L48" s="630"/>
      <c r="M48" s="631"/>
      <c r="N48" s="84" t="str">
        <f>IFERROR(VLOOKUP($P48,Expenses!$A$3:$O$31,12,0),"")</f>
        <v/>
      </c>
      <c r="P48" s="72">
        <v>13</v>
      </c>
      <c r="Q48" s="91"/>
      <c r="R48" s="133"/>
      <c r="S48" s="134"/>
      <c r="T48" s="77"/>
      <c r="U48" s="77"/>
      <c r="V48" s="77"/>
      <c r="W48" s="77"/>
      <c r="X48" s="77"/>
      <c r="Y48" s="132"/>
      <c r="Z48" s="132"/>
      <c r="AA48" s="132"/>
      <c r="AB48" s="132"/>
      <c r="AC48" s="132"/>
      <c r="AD48" s="132"/>
    </row>
    <row r="49" spans="1:30" ht="12.75" customHeight="1" x14ac:dyDescent="0.15">
      <c r="A49" s="83" t="str">
        <f>IFERROR(VLOOKUP($P49,Expenses!$B$3:$O$31,2,0),"")</f>
        <v/>
      </c>
      <c r="B49" s="626" t="str">
        <f>IFERROR(VLOOKUP($P49,Expenses!$B$3:$O$31,9,0),"")</f>
        <v/>
      </c>
      <c r="C49" s="627"/>
      <c r="D49" s="627"/>
      <c r="E49" s="628"/>
      <c r="F49" s="82" t="str">
        <f>IFERROR(VLOOKUP($P49,Expenses!$B$3:$O$31,10,0),"")</f>
        <v/>
      </c>
      <c r="G49" s="116"/>
      <c r="H49" s="83" t="str">
        <f>IFERROR(VLOOKUP($P49,Expenses!$A$3:$O$31,3,0),"")</f>
        <v/>
      </c>
      <c r="I49" s="125" t="str">
        <f t="shared" si="9"/>
        <v/>
      </c>
      <c r="J49" s="629" t="str">
        <f>IFERROR(VLOOKUP($P49,Expenses!$A$3:$O$31,8,0)&amp;"-"&amp;VLOOKUP($P49,Expenses!$A$3:$O$31,9,0),"")</f>
        <v/>
      </c>
      <c r="K49" s="630"/>
      <c r="L49" s="630"/>
      <c r="M49" s="631"/>
      <c r="N49" s="84" t="str">
        <f>IFERROR(VLOOKUP($P49,Expenses!$A$3:$O$31,12,0),"")</f>
        <v/>
      </c>
      <c r="P49" s="72">
        <v>14</v>
      </c>
      <c r="Q49" s="91"/>
      <c r="R49" s="133"/>
      <c r="S49" s="134"/>
      <c r="T49" s="133"/>
      <c r="U49" s="133"/>
      <c r="V49" s="133"/>
      <c r="W49" s="133"/>
      <c r="Y49" s="132"/>
      <c r="Z49" s="132"/>
      <c r="AA49" s="132"/>
      <c r="AB49" s="132"/>
      <c r="AC49" s="132"/>
      <c r="AD49" s="132"/>
    </row>
    <row r="50" spans="1:30" ht="12.75" customHeight="1" x14ac:dyDescent="0.15">
      <c r="A50" s="83" t="str">
        <f>IFERROR(VLOOKUP($P50,Expenses!$B$3:$O$31,2,0),"")</f>
        <v/>
      </c>
      <c r="B50" s="626" t="str">
        <f>IFERROR(VLOOKUP($P50,Expenses!$B$3:$O$31,9,0),"")</f>
        <v/>
      </c>
      <c r="C50" s="627"/>
      <c r="D50" s="627"/>
      <c r="E50" s="628"/>
      <c r="F50" s="82" t="str">
        <f>IFERROR(VLOOKUP($P50,Expenses!$B$3:$O$31,10,0),"")</f>
        <v/>
      </c>
      <c r="G50" s="116"/>
      <c r="H50" s="83" t="str">
        <f>IFERROR(VLOOKUP($P50,Expenses!$A$3:$O$31,3,0),"")</f>
        <v/>
      </c>
      <c r="I50" s="125" t="str">
        <f t="shared" si="9"/>
        <v/>
      </c>
      <c r="J50" s="629" t="str">
        <f>IFERROR(VLOOKUP($P50,Expenses!$A$3:$O$31,8,0)&amp;"-"&amp;VLOOKUP($P50,Expenses!$A$3:$O$31,9,0),"")</f>
        <v/>
      </c>
      <c r="K50" s="630"/>
      <c r="L50" s="630"/>
      <c r="M50" s="631"/>
      <c r="N50" s="82" t="str">
        <f>IFERROR(VLOOKUP($P50,Expenses!$A$3:$O$31,12,0),"")</f>
        <v/>
      </c>
      <c r="P50" s="72">
        <v>15</v>
      </c>
      <c r="Q50" s="131"/>
      <c r="R50" s="131"/>
      <c r="S50" s="130"/>
      <c r="T50" s="129"/>
      <c r="U50" s="128"/>
      <c r="V50" s="128"/>
      <c r="W50" s="128"/>
      <c r="X50" s="128"/>
      <c r="Y50" s="128"/>
      <c r="Z50" s="128"/>
      <c r="AA50" s="128"/>
      <c r="AB50" s="128"/>
      <c r="AC50" s="128"/>
      <c r="AD50" s="128"/>
    </row>
    <row r="51" spans="1:30" ht="12.75" customHeight="1" x14ac:dyDescent="0.15">
      <c r="A51" s="83" t="str">
        <f>IFERROR(VLOOKUP($P51,Expenses!$B$3:$O$31,2,0),"")</f>
        <v/>
      </c>
      <c r="B51" s="626" t="str">
        <f>IFERROR(VLOOKUP($P51,Expenses!$B$3:$O$31,9,0),"")</f>
        <v/>
      </c>
      <c r="C51" s="627"/>
      <c r="D51" s="627"/>
      <c r="E51" s="628"/>
      <c r="F51" s="82" t="str">
        <f>IFERROR(VLOOKUP($P51,Expenses!$B$3:$O$31,10,0),"")</f>
        <v/>
      </c>
      <c r="G51" s="116"/>
      <c r="H51" s="83" t="str">
        <f>IFERROR(VLOOKUP($P51,Expenses!$A$3:$O$31,3,0),"")</f>
        <v/>
      </c>
      <c r="I51" s="125" t="str">
        <f t="shared" si="9"/>
        <v/>
      </c>
      <c r="J51" s="629" t="str">
        <f>IFERROR(VLOOKUP($P51,Expenses!$A$3:$O$31,8,0)&amp;"-"&amp;VLOOKUP($P51,Expenses!$A$3:$O$31,9,0),"")</f>
        <v/>
      </c>
      <c r="K51" s="630"/>
      <c r="L51" s="630"/>
      <c r="M51" s="631"/>
      <c r="N51" s="82" t="str">
        <f>IFERROR(VLOOKUP($P51,Expenses!$A$3:$O$31,12,0),"")</f>
        <v/>
      </c>
      <c r="P51" s="72">
        <v>16</v>
      </c>
      <c r="Q51" s="131"/>
      <c r="R51" s="131"/>
      <c r="S51" s="130"/>
      <c r="T51" s="129"/>
      <c r="U51" s="128"/>
      <c r="V51" s="128"/>
      <c r="W51" s="128"/>
      <c r="X51" s="128"/>
      <c r="Y51" s="128"/>
      <c r="Z51" s="128"/>
      <c r="AA51" s="128"/>
      <c r="AB51" s="128"/>
      <c r="AC51" s="128"/>
      <c r="AD51" s="128"/>
    </row>
    <row r="52" spans="1:30" ht="12.75" customHeight="1" x14ac:dyDescent="0.15">
      <c r="A52" s="83" t="str">
        <f>IFERROR(VLOOKUP($P52,Expenses!$B$3:$O$31,2,0),"")</f>
        <v/>
      </c>
      <c r="B52" s="626" t="str">
        <f>IFERROR(VLOOKUP($P52,Expenses!$B$3:$O$31,9,0),"")</f>
        <v/>
      </c>
      <c r="C52" s="627"/>
      <c r="D52" s="627"/>
      <c r="E52" s="628"/>
      <c r="F52" s="82" t="str">
        <f>IFERROR(VLOOKUP($P52,Expenses!$B$3:$O$31,10,0),"")</f>
        <v/>
      </c>
      <c r="G52" s="116"/>
      <c r="H52" s="83" t="str">
        <f>IFERROR(VLOOKUP($P52,Expenses!$A$3:$O$31,3,0),"")</f>
        <v/>
      </c>
      <c r="I52" s="125" t="str">
        <f t="shared" si="9"/>
        <v/>
      </c>
      <c r="J52" s="629" t="str">
        <f>IFERROR(VLOOKUP($P52,Expenses!$A$3:$O$31,8,0)&amp;"-"&amp;VLOOKUP($P52,Expenses!$A$3:$O$31,9,0),"")</f>
        <v/>
      </c>
      <c r="K52" s="630"/>
      <c r="L52" s="630"/>
      <c r="M52" s="631"/>
      <c r="N52" s="82" t="str">
        <f>IFERROR(VLOOKUP($P52,Expenses!$A$3:$O$31,12,0),"")</f>
        <v/>
      </c>
      <c r="P52" s="72">
        <v>17</v>
      </c>
      <c r="Q52" s="126"/>
      <c r="R52" s="126"/>
      <c r="S52" s="126"/>
      <c r="T52" s="126"/>
      <c r="U52" s="126"/>
      <c r="V52" s="126"/>
      <c r="W52" s="126"/>
      <c r="X52" s="126"/>
      <c r="Y52" s="126"/>
      <c r="Z52" s="127"/>
      <c r="AA52" s="127"/>
      <c r="AB52" s="126"/>
      <c r="AC52" s="126"/>
      <c r="AD52" s="126"/>
    </row>
    <row r="53" spans="1:30" ht="12.75" customHeight="1" x14ac:dyDescent="0.15">
      <c r="A53" s="83" t="str">
        <f>IFERROR(VLOOKUP($P53,Expenses!$B$3:$O$31,2,0),"")</f>
        <v/>
      </c>
      <c r="B53" s="626" t="str">
        <f>IFERROR(VLOOKUP($P53,Expenses!$B$3:$O$31,9,0),"")</f>
        <v/>
      </c>
      <c r="C53" s="627"/>
      <c r="D53" s="627"/>
      <c r="E53" s="628"/>
      <c r="F53" s="82" t="str">
        <f>IFERROR(VLOOKUP($P53,Expenses!$B$3:$O$31,10,0),"")</f>
        <v/>
      </c>
      <c r="G53" s="116"/>
      <c r="H53" s="83" t="str">
        <f>IFERROR(VLOOKUP($P53,Expenses!$A$3:$O$31,3,0),"")</f>
        <v/>
      </c>
      <c r="I53" s="125" t="str">
        <f t="shared" si="9"/>
        <v/>
      </c>
      <c r="J53" s="629" t="str">
        <f>IFERROR(VLOOKUP($P53,Expenses!$A$3:$O$31,8,0)&amp;"-"&amp;VLOOKUP($P53,Expenses!$A$3:$O$31,9,0),"")</f>
        <v/>
      </c>
      <c r="K53" s="630"/>
      <c r="L53" s="630"/>
      <c r="M53" s="631"/>
      <c r="N53" s="82" t="str">
        <f>IFERROR(VLOOKUP($P53,Expenses!$A$3:$O$31,12,0),"")</f>
        <v/>
      </c>
      <c r="P53" s="72">
        <v>18</v>
      </c>
      <c r="Q53" s="122"/>
      <c r="R53" s="121"/>
      <c r="S53" s="121"/>
      <c r="T53" s="120"/>
      <c r="U53" s="120"/>
      <c r="V53" s="119"/>
      <c r="W53" s="118"/>
      <c r="X53" s="118"/>
      <c r="Y53" s="117"/>
      <c r="Z53" s="117"/>
      <c r="AA53" s="117"/>
      <c r="AB53" s="117"/>
      <c r="AC53" s="117"/>
      <c r="AD53" s="116"/>
    </row>
    <row r="54" spans="1:30" ht="12.75" customHeight="1" x14ac:dyDescent="0.15">
      <c r="A54" s="83" t="str">
        <f>IFERROR(VLOOKUP($P54,Expenses!$B$3:$O$31,2,0),"")</f>
        <v/>
      </c>
      <c r="B54" s="626" t="str">
        <f>IFERROR(VLOOKUP($P54,Expenses!$B$3:$O$31,9,0),"")</f>
        <v/>
      </c>
      <c r="C54" s="627"/>
      <c r="D54" s="627"/>
      <c r="E54" s="628"/>
      <c r="F54" s="82" t="str">
        <f>IFERROR(VLOOKUP($P54,Expenses!$B$3:$O$31,10,0),"")</f>
        <v/>
      </c>
      <c r="G54" s="116"/>
      <c r="H54" s="83" t="str">
        <f>IFERROR(VLOOKUP($P54,Expenses!$A$3:$O$31,3,0),"")</f>
        <v/>
      </c>
      <c r="I54" s="125" t="str">
        <f t="shared" si="9"/>
        <v/>
      </c>
      <c r="J54" s="629" t="str">
        <f>IFERROR(VLOOKUP($P54,Expenses!$A$3:$O$31,8,0)&amp;"-"&amp;VLOOKUP($P54,Expenses!$A$3:$O$31,9,0),"")</f>
        <v/>
      </c>
      <c r="K54" s="630"/>
      <c r="L54" s="630"/>
      <c r="M54" s="631"/>
      <c r="N54" s="82" t="str">
        <f>IFERROR(VLOOKUP($P54,Expenses!$A$3:$O$31,12,0),"")</f>
        <v/>
      </c>
      <c r="P54" s="72">
        <v>19</v>
      </c>
      <c r="Q54" s="122"/>
      <c r="R54" s="121"/>
      <c r="S54" s="121"/>
      <c r="T54" s="120"/>
      <c r="U54" s="120"/>
      <c r="V54" s="119"/>
      <c r="W54" s="118"/>
      <c r="X54" s="118"/>
      <c r="Y54" s="117"/>
      <c r="Z54" s="117"/>
      <c r="AA54" s="117"/>
      <c r="AB54" s="117"/>
      <c r="AC54" s="117"/>
      <c r="AD54" s="116"/>
    </row>
    <row r="55" spans="1:30" ht="12.75" customHeight="1" x14ac:dyDescent="0.15">
      <c r="A55" s="83" t="str">
        <f>IFERROR(VLOOKUP($P55,Expenses!$B$3:$O$31,2,0),"")</f>
        <v/>
      </c>
      <c r="B55" s="626" t="str">
        <f>IFERROR(VLOOKUP($P55,Expenses!$B$3:$O$31,9,0),"")</f>
        <v/>
      </c>
      <c r="C55" s="627"/>
      <c r="D55" s="627"/>
      <c r="E55" s="628"/>
      <c r="F55" s="82" t="str">
        <f>IFERROR(VLOOKUP($P55,Expenses!$B$3:$O$31,10,0),"")</f>
        <v/>
      </c>
      <c r="G55" s="116"/>
      <c r="H55" s="83" t="str">
        <f>IFERROR(VLOOKUP($P55,Expenses!$A$3:$O$31,3,0),"")</f>
        <v/>
      </c>
      <c r="I55" s="125" t="str">
        <f t="shared" si="9"/>
        <v/>
      </c>
      <c r="J55" s="629" t="str">
        <f>IFERROR(VLOOKUP($P55,Expenses!$A$3:$O$31,8,0)&amp;"-"&amp;VLOOKUP($P55,Expenses!$A$3:$O$31,9,0),"")</f>
        <v/>
      </c>
      <c r="K55" s="630"/>
      <c r="L55" s="630"/>
      <c r="M55" s="631"/>
      <c r="N55" s="82" t="str">
        <f>IFERROR(VLOOKUP($P55,Expenses!$A$3:$O$31,12,0),"")</f>
        <v/>
      </c>
      <c r="P55" s="72">
        <v>20</v>
      </c>
      <c r="Q55" s="122"/>
      <c r="R55" s="121"/>
      <c r="S55" s="121"/>
      <c r="T55" s="120"/>
      <c r="U55" s="120"/>
      <c r="V55" s="119"/>
      <c r="W55" s="118"/>
      <c r="X55" s="118"/>
      <c r="Y55" s="117"/>
      <c r="Z55" s="117"/>
      <c r="AA55" s="117"/>
      <c r="AB55" s="117"/>
      <c r="AC55" s="117"/>
      <c r="AD55" s="116"/>
    </row>
    <row r="56" spans="1:30" ht="12.75" customHeight="1" thickBot="1" x14ac:dyDescent="0.2">
      <c r="A56" s="81" t="str">
        <f>IFERROR(VLOOKUP($P56,Expenses!$B$3:$O$31,2,0),"")</f>
        <v/>
      </c>
      <c r="B56" s="635" t="str">
        <f>IFERROR(VLOOKUP($P56,Expenses!$B$3:$O$31,9,0),"")</f>
        <v/>
      </c>
      <c r="C56" s="636"/>
      <c r="D56" s="636"/>
      <c r="E56" s="637"/>
      <c r="F56" s="80" t="str">
        <f>IFERROR(VLOOKUP($P56,Expenses!$B$3:$O$31,10,0),"")</f>
        <v/>
      </c>
      <c r="G56" s="116"/>
      <c r="H56" s="81" t="str">
        <f>IFERROR(VLOOKUP($P56,Expenses!$A$3:$O$31,3,0),"")</f>
        <v/>
      </c>
      <c r="I56" s="124" t="str">
        <f t="shared" si="9"/>
        <v/>
      </c>
      <c r="J56" s="638" t="str">
        <f>IFERROR(VLOOKUP($P56,Expenses!$A$3:$O$31,8,0)&amp;"-"&amp;VLOOKUP($P56,Expenses!$A$3:$O$31,9,0),"")</f>
        <v/>
      </c>
      <c r="K56" s="639"/>
      <c r="L56" s="639"/>
      <c r="M56" s="640"/>
      <c r="N56" s="80" t="str">
        <f>IFERROR(VLOOKUP($P56,Expenses!$A$3:$O$31,12,0),"")</f>
        <v/>
      </c>
      <c r="P56" s="72">
        <v>21</v>
      </c>
      <c r="Q56" s="122"/>
      <c r="R56" s="121"/>
      <c r="S56" s="121"/>
      <c r="T56" s="120"/>
      <c r="U56" s="120"/>
      <c r="V56" s="119"/>
      <c r="W56" s="118"/>
      <c r="X56" s="118"/>
      <c r="Y56" s="117"/>
      <c r="Z56" s="117"/>
      <c r="AA56" s="117"/>
      <c r="AB56" s="117"/>
      <c r="AC56" s="117"/>
      <c r="AD56" s="116"/>
    </row>
    <row r="57" spans="1:30" ht="15" customHeight="1" thickBot="1" x14ac:dyDescent="0.2">
      <c r="A57" s="641" t="s">
        <v>286</v>
      </c>
      <c r="B57" s="642"/>
      <c r="C57" s="642"/>
      <c r="D57" s="642"/>
      <c r="E57" s="643"/>
      <c r="F57" s="123">
        <f>SUM(F42:F56)</f>
        <v>0</v>
      </c>
      <c r="G57" s="116"/>
      <c r="H57" s="641" t="s">
        <v>285</v>
      </c>
      <c r="I57" s="642"/>
      <c r="J57" s="642"/>
      <c r="K57" s="642"/>
      <c r="L57" s="642"/>
      <c r="M57" s="643"/>
      <c r="N57" s="123">
        <f>SUM(N42:N56)</f>
        <v>0</v>
      </c>
      <c r="Q57" s="122"/>
      <c r="R57" s="121"/>
      <c r="S57" s="121"/>
      <c r="T57" s="120"/>
      <c r="U57" s="120"/>
      <c r="V57" s="119"/>
      <c r="W57" s="118"/>
      <c r="X57" s="118"/>
      <c r="Y57" s="117"/>
      <c r="Z57" s="117"/>
      <c r="AA57" s="117"/>
      <c r="AB57" s="117"/>
      <c r="AC57" s="117"/>
      <c r="AD57" s="116"/>
    </row>
    <row r="58" spans="1:30" x14ac:dyDescent="0.15">
      <c r="A58" s="78"/>
      <c r="B58" s="78"/>
      <c r="C58" s="78"/>
      <c r="D58" s="78"/>
      <c r="E58" s="78"/>
      <c r="F58" s="78"/>
      <c r="G58" s="78"/>
      <c r="H58" s="78"/>
      <c r="I58" s="78"/>
      <c r="J58" s="78"/>
      <c r="K58" s="78"/>
      <c r="L58" s="78"/>
      <c r="M58" s="78"/>
      <c r="N58" s="78"/>
      <c r="Q58" s="122"/>
      <c r="R58" s="121"/>
      <c r="S58" s="121"/>
      <c r="T58" s="120"/>
      <c r="U58" s="120"/>
      <c r="V58" s="119"/>
      <c r="W58" s="118"/>
      <c r="X58" s="118"/>
      <c r="Y58" s="117"/>
      <c r="Z58" s="117"/>
      <c r="AA58" s="117"/>
      <c r="AB58" s="117"/>
      <c r="AC58" s="117"/>
      <c r="AD58" s="116"/>
    </row>
  </sheetData>
  <mergeCells count="68">
    <mergeCell ref="C37:E37"/>
    <mergeCell ref="C32:E32"/>
    <mergeCell ref="C33:E33"/>
    <mergeCell ref="C34:E34"/>
    <mergeCell ref="C35:E35"/>
    <mergeCell ref="C36:E36"/>
    <mergeCell ref="C27:E27"/>
    <mergeCell ref="C28:E28"/>
    <mergeCell ref="C29:E29"/>
    <mergeCell ref="C30:E30"/>
    <mergeCell ref="C31:E31"/>
    <mergeCell ref="C22:E22"/>
    <mergeCell ref="C23:E23"/>
    <mergeCell ref="C24:E24"/>
    <mergeCell ref="C25:E25"/>
    <mergeCell ref="C26:E26"/>
    <mergeCell ref="C17:E17"/>
    <mergeCell ref="C18:E18"/>
    <mergeCell ref="C19:E19"/>
    <mergeCell ref="C20:E20"/>
    <mergeCell ref="C21:E21"/>
    <mergeCell ref="A39:G39"/>
    <mergeCell ref="H39:N39"/>
    <mergeCell ref="J48:M48"/>
    <mergeCell ref="D13:G13"/>
    <mergeCell ref="A14:B15"/>
    <mergeCell ref="E14:N15"/>
    <mergeCell ref="H40:N40"/>
    <mergeCell ref="A38:E38"/>
    <mergeCell ref="G16:H16"/>
    <mergeCell ref="B46:E46"/>
    <mergeCell ref="J43:M43"/>
    <mergeCell ref="J44:M44"/>
    <mergeCell ref="J45:M45"/>
    <mergeCell ref="J46:M46"/>
    <mergeCell ref="J41:M41"/>
    <mergeCell ref="B42:E42"/>
    <mergeCell ref="A5:D5"/>
    <mergeCell ref="F5:N6"/>
    <mergeCell ref="A6:D6"/>
    <mergeCell ref="D12:H12"/>
    <mergeCell ref="I12:N13"/>
    <mergeCell ref="K7:L7"/>
    <mergeCell ref="B55:E55"/>
    <mergeCell ref="J55:M55"/>
    <mergeCell ref="B56:E56"/>
    <mergeCell ref="J56:M56"/>
    <mergeCell ref="A57:E57"/>
    <mergeCell ref="H57:M57"/>
    <mergeCell ref="B52:E52"/>
    <mergeCell ref="J52:M52"/>
    <mergeCell ref="B53:E53"/>
    <mergeCell ref="J53:M53"/>
    <mergeCell ref="B54:E54"/>
    <mergeCell ref="J54:M54"/>
    <mergeCell ref="J42:M42"/>
    <mergeCell ref="B51:E51"/>
    <mergeCell ref="J51:M51"/>
    <mergeCell ref="J50:M50"/>
    <mergeCell ref="B43:E43"/>
    <mergeCell ref="B44:E44"/>
    <mergeCell ref="B45:E45"/>
    <mergeCell ref="B49:E49"/>
    <mergeCell ref="J49:M49"/>
    <mergeCell ref="B50:E50"/>
    <mergeCell ref="B47:E47"/>
    <mergeCell ref="J47:M47"/>
    <mergeCell ref="B48:E48"/>
  </mergeCells>
  <hyperlinks>
    <hyperlink ref="I12" r:id="rId1" xr:uid="{00000000-0004-0000-0400-000000000000}"/>
    <hyperlink ref="H39" r:id="rId2" xr:uid="{00000000-0004-0000-0400-000001000000}"/>
  </hyperlinks>
  <pageMargins left="0.27" right="0.28999999999999998" top="0.51" bottom="0.52" header="0.48" footer="0.5"/>
  <pageSetup scale="78" orientation="portrait" verticalDpi="598"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8"/>
  <sheetViews>
    <sheetView view="pageBreakPreview" zoomScaleNormal="80" zoomScaleSheetLayoutView="100" workbookViewId="0">
      <selection sqref="A1:I1"/>
    </sheetView>
  </sheetViews>
  <sheetFormatPr baseColWidth="10" defaultColWidth="9.1640625" defaultRowHeight="16" x14ac:dyDescent="0.2"/>
  <cols>
    <col min="1" max="1" width="14.1640625" style="2" customWidth="1"/>
    <col min="2" max="2" width="6" style="2" customWidth="1"/>
    <col min="3" max="3" width="15.6640625" style="2" customWidth="1"/>
    <col min="4" max="4" width="9.1640625" style="2" customWidth="1"/>
    <col min="5" max="5" width="6.5" style="2" customWidth="1"/>
    <col min="6" max="6" width="14" style="2" customWidth="1"/>
    <col min="7" max="7" width="11.83203125" style="2" customWidth="1"/>
    <col min="8" max="8" width="5" style="2" customWidth="1"/>
    <col min="9" max="9" width="11.83203125" style="2" bestFit="1" customWidth="1"/>
    <col min="10" max="11" width="9.1640625" style="2"/>
    <col min="12" max="12" width="9.6640625" style="2" bestFit="1" customWidth="1"/>
    <col min="13" max="13" width="10" style="2" bestFit="1" customWidth="1"/>
    <col min="14" max="16384" width="9.1640625" style="2"/>
  </cols>
  <sheetData>
    <row r="1" spans="1:9" ht="18" x14ac:dyDescent="0.2">
      <c r="A1" s="418" t="s">
        <v>221</v>
      </c>
      <c r="B1" s="418"/>
      <c r="C1" s="418"/>
      <c r="D1" s="418"/>
      <c r="E1" s="418"/>
      <c r="F1" s="418"/>
      <c r="G1" s="418"/>
      <c r="H1" s="418"/>
      <c r="I1" s="418"/>
    </row>
    <row r="2" spans="1:9" x14ac:dyDescent="0.2">
      <c r="A2" s="419" t="s">
        <v>3</v>
      </c>
      <c r="B2" s="419"/>
      <c r="C2" s="419"/>
      <c r="D2" s="419"/>
      <c r="E2" s="419"/>
      <c r="F2" s="419"/>
      <c r="G2" s="419"/>
      <c r="H2" s="419"/>
      <c r="I2" s="419"/>
    </row>
    <row r="3" spans="1:9" x14ac:dyDescent="0.2">
      <c r="A3" s="419" t="s">
        <v>4</v>
      </c>
      <c r="B3" s="419"/>
      <c r="C3" s="419"/>
      <c r="D3" s="419"/>
      <c r="E3" s="419"/>
      <c r="F3" s="419"/>
      <c r="G3" s="419"/>
      <c r="H3" s="419"/>
      <c r="I3" s="419"/>
    </row>
    <row r="4" spans="1:9" ht="45" customHeight="1" x14ac:dyDescent="0.2">
      <c r="A4" s="668" t="s">
        <v>222</v>
      </c>
      <c r="B4" s="668"/>
      <c r="C4" s="668"/>
      <c r="D4" s="668"/>
      <c r="E4" s="668"/>
      <c r="F4" s="668"/>
      <c r="G4" s="668"/>
      <c r="H4" s="668"/>
      <c r="I4" s="668"/>
    </row>
    <row r="5" spans="1:9" ht="7.5" customHeight="1" x14ac:dyDescent="0.2"/>
    <row r="6" spans="1:9" x14ac:dyDescent="0.2">
      <c r="A6" s="3" t="s">
        <v>0</v>
      </c>
      <c r="B6" s="423" t="str">
        <f>IF(Request!E21="X",IF(Request!B5="","",Request!B5),"")</f>
        <v/>
      </c>
      <c r="C6" s="423"/>
      <c r="D6" s="423"/>
      <c r="E6" s="3" t="s">
        <v>1</v>
      </c>
      <c r="F6" s="423" t="str">
        <f>IF(Request!E21="X",IF(Request!F5="","",Request!F5),"")</f>
        <v/>
      </c>
      <c r="G6" s="423"/>
      <c r="H6" s="423"/>
      <c r="I6" s="423"/>
    </row>
    <row r="7" spans="1:9" ht="7.5" customHeight="1" x14ac:dyDescent="0.2"/>
    <row r="8" spans="1:9" ht="15.5" customHeight="1" x14ac:dyDescent="0.2">
      <c r="A8" s="3" t="s">
        <v>172</v>
      </c>
      <c r="B8" s="675" t="str">
        <f>IF(Request!E21="X",IF(Request!B11="","",Request!B11),"")</f>
        <v/>
      </c>
      <c r="C8" s="675"/>
      <c r="D8" s="3" t="s">
        <v>173</v>
      </c>
      <c r="E8" s="3"/>
      <c r="F8" s="423" t="str">
        <f>IF(Request!E21="X",IFERROR(VLOOKUP(B8,Lookups!A2:B151,2,0),""),"")</f>
        <v/>
      </c>
      <c r="G8" s="423"/>
      <c r="H8" s="423"/>
      <c r="I8" s="423"/>
    </row>
    <row r="9" spans="1:9" ht="15.5" customHeight="1" x14ac:dyDescent="0.2"/>
    <row r="10" spans="1:9" ht="15.5" customHeight="1" x14ac:dyDescent="0.2">
      <c r="A10" s="3" t="s">
        <v>223</v>
      </c>
      <c r="D10" s="676"/>
      <c r="E10" s="676"/>
      <c r="F10" s="676"/>
      <c r="G10" s="676"/>
      <c r="H10" s="676"/>
      <c r="I10" s="676"/>
    </row>
    <row r="11" spans="1:9" ht="7.5" customHeight="1" x14ac:dyDescent="0.2"/>
    <row r="12" spans="1:9" ht="15.5" customHeight="1" x14ac:dyDescent="0.2">
      <c r="A12" s="3" t="s">
        <v>0</v>
      </c>
      <c r="B12" s="670"/>
      <c r="C12" s="670"/>
      <c r="D12" s="670"/>
      <c r="E12" s="670"/>
      <c r="F12" s="670"/>
      <c r="G12" s="670"/>
      <c r="H12" s="670"/>
      <c r="I12" s="670"/>
    </row>
    <row r="13" spans="1:9" ht="7.5" customHeight="1" x14ac:dyDescent="0.2"/>
    <row r="14" spans="1:9" ht="15.5" customHeight="1" x14ac:dyDescent="0.2">
      <c r="A14" s="3" t="s">
        <v>224</v>
      </c>
      <c r="B14" s="670"/>
      <c r="C14" s="670"/>
      <c r="D14" s="670"/>
      <c r="E14" s="670"/>
      <c r="F14" s="670"/>
      <c r="G14" s="670"/>
      <c r="H14" s="670"/>
      <c r="I14" s="670"/>
    </row>
    <row r="15" spans="1:9" ht="7.5" customHeight="1" x14ac:dyDescent="0.2"/>
    <row r="16" spans="1:9" ht="15.5" customHeight="1" x14ac:dyDescent="0.2">
      <c r="A16" s="3" t="s">
        <v>6</v>
      </c>
      <c r="B16" s="671" t="str">
        <f>IF(Request!E21="X",IF(Request!B15="","",Request!B15),"")</f>
        <v/>
      </c>
      <c r="C16" s="671"/>
      <c r="D16" s="672" t="s">
        <v>7</v>
      </c>
      <c r="E16" s="672"/>
      <c r="F16" s="671" t="str">
        <f>IF(Request!E21="X",IF(Request!B16="","",Request!B16),"")</f>
        <v/>
      </c>
      <c r="G16" s="671"/>
      <c r="H16" s="49"/>
      <c r="I16" s="49"/>
    </row>
    <row r="17" spans="1:9" ht="7.5" customHeight="1" x14ac:dyDescent="0.2"/>
    <row r="18" spans="1:9" x14ac:dyDescent="0.2">
      <c r="A18" s="3" t="s">
        <v>11</v>
      </c>
    </row>
    <row r="19" spans="1:9" ht="75" customHeight="1" x14ac:dyDescent="0.2">
      <c r="A19" s="673"/>
      <c r="B19" s="673"/>
      <c r="C19" s="673"/>
      <c r="D19" s="673"/>
      <c r="E19" s="673"/>
      <c r="F19" s="673"/>
      <c r="G19" s="673"/>
      <c r="H19" s="673"/>
      <c r="I19" s="673"/>
    </row>
    <row r="20" spans="1:9" ht="7.5" customHeight="1" x14ac:dyDescent="0.2"/>
    <row r="21" spans="1:9" ht="15.5" customHeight="1" x14ac:dyDescent="0.2">
      <c r="A21" s="3" t="s">
        <v>225</v>
      </c>
      <c r="B21" s="674">
        <f>IF(Request!$G$35="","",Request!$G$35)</f>
        <v>0</v>
      </c>
      <c r="C21" s="674"/>
    </row>
    <row r="22" spans="1:9" ht="7.5" customHeight="1" x14ac:dyDescent="0.2"/>
    <row r="23" spans="1:9" x14ac:dyDescent="0.2">
      <c r="A23" s="3" t="s">
        <v>226</v>
      </c>
    </row>
    <row r="24" spans="1:9" ht="75" customHeight="1" x14ac:dyDescent="0.2">
      <c r="A24" s="668" t="s">
        <v>227</v>
      </c>
      <c r="B24" s="668"/>
      <c r="C24" s="668"/>
      <c r="D24" s="668"/>
      <c r="E24" s="668"/>
      <c r="F24" s="668"/>
      <c r="G24" s="668"/>
      <c r="H24" s="668"/>
      <c r="I24" s="668"/>
    </row>
    <row r="25" spans="1:9" ht="7.5" customHeight="1" x14ac:dyDescent="0.2"/>
    <row r="26" spans="1:9" ht="86.25" customHeight="1" x14ac:dyDescent="0.2">
      <c r="A26" s="668" t="s">
        <v>230</v>
      </c>
      <c r="B26" s="668"/>
      <c r="C26" s="668"/>
      <c r="D26" s="668"/>
      <c r="E26" s="668"/>
      <c r="F26" s="668"/>
      <c r="G26" s="668"/>
      <c r="H26" s="668"/>
      <c r="I26" s="668"/>
    </row>
    <row r="27" spans="1:9" x14ac:dyDescent="0.2">
      <c r="A27" s="3" t="s">
        <v>228</v>
      </c>
      <c r="G27" s="3"/>
      <c r="H27" s="419"/>
      <c r="I27" s="419"/>
    </row>
    <row r="28" spans="1:9" ht="75" customHeight="1" x14ac:dyDescent="0.2">
      <c r="A28" s="669" t="s">
        <v>229</v>
      </c>
      <c r="B28" s="669"/>
      <c r="C28" s="669"/>
      <c r="D28" s="669"/>
      <c r="E28" s="669"/>
      <c r="F28" s="669"/>
      <c r="G28" s="669"/>
      <c r="H28" s="669"/>
      <c r="I28" s="669"/>
    </row>
  </sheetData>
  <dataConsolidate/>
  <mergeCells count="20">
    <mergeCell ref="B12:I12"/>
    <mergeCell ref="A1:I1"/>
    <mergeCell ref="A2:I2"/>
    <mergeCell ref="A3:I3"/>
    <mergeCell ref="A4:I4"/>
    <mergeCell ref="B6:D6"/>
    <mergeCell ref="F6:I6"/>
    <mergeCell ref="B8:C8"/>
    <mergeCell ref="F8:I8"/>
    <mergeCell ref="D10:I10"/>
    <mergeCell ref="A24:I24"/>
    <mergeCell ref="A26:I26"/>
    <mergeCell ref="H27:I27"/>
    <mergeCell ref="A28:I28"/>
    <mergeCell ref="B14:I14"/>
    <mergeCell ref="B16:C16"/>
    <mergeCell ref="D16:E16"/>
    <mergeCell ref="F16:G16"/>
    <mergeCell ref="A19:I19"/>
    <mergeCell ref="B21:C21"/>
  </mergeCells>
  <dataValidations xWindow="612" yWindow="1206" count="7">
    <dataValidation allowBlank="1" showErrorMessage="1" sqref="A26:I26 A28:I28" xr:uid="{00000000-0002-0000-0500-000000000000}"/>
    <dataValidation allowBlank="1" showInputMessage="1" showErrorMessage="1" promptTitle="Organization" prompt="Name the organization sponsoring the conference / workshop." sqref="B14:I14" xr:uid="{00000000-0002-0000-0500-000001000000}"/>
    <dataValidation allowBlank="1" showInputMessage="1" showErrorMessage="1" promptTitle="Name" prompt="Input the name of the conference." sqref="B12:I12" xr:uid="{00000000-0002-0000-0500-000002000000}"/>
    <dataValidation allowBlank="1" showInputMessage="1" showErrorMessage="1" promptTitle="Description" prompt="Give a brief narrative explaiing how this professional development opportunity supports the enhancement of your job responsibilities and / or position at WV Norther Community College." sqref="A19:I19 A24:I24" xr:uid="{00000000-0002-0000-0500-000003000000}"/>
    <dataValidation type="date" allowBlank="1" showInputMessage="1" showErrorMessage="1" sqref="F16:G16" xr:uid="{00000000-0002-0000-0500-000004000000}">
      <formula1>36526</formula1>
      <formula2>73050</formula2>
    </dataValidation>
    <dataValidation type="list" allowBlank="1" showInputMessage="1" showErrorMessage="1" sqref="B8:C8" xr:uid="{00000000-0002-0000-0500-000005000000}">
      <formula1>Dept_Number</formula1>
    </dataValidation>
    <dataValidation type="date" allowBlank="1" showInputMessage="1" showErrorMessage="1" promptTitle="Conference Dates" prompt="Please enter the days fo the conference - This may differ from the days of travel." sqref="B16:C16" xr:uid="{00000000-0002-0000-0500-000006000000}">
      <formula1>36526</formula1>
      <formula2>73050</formula2>
    </dataValidation>
  </dataValidations>
  <pageMargins left="0.5" right="0.5" top="0.75" bottom="0.2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0"/>
  <sheetViews>
    <sheetView workbookViewId="0">
      <selection activeCell="D99" sqref="D99"/>
    </sheetView>
  </sheetViews>
  <sheetFormatPr baseColWidth="10" defaultColWidth="9.1640625" defaultRowHeight="14" x14ac:dyDescent="0.15"/>
  <cols>
    <col min="1" max="1" width="9.1640625" style="1"/>
    <col min="2" max="2" width="35.83203125" style="1" bestFit="1" customWidth="1"/>
    <col min="3" max="3" width="11.6640625" style="1" bestFit="1" customWidth="1"/>
    <col min="4" max="4" width="14.1640625" style="1" bestFit="1" customWidth="1"/>
    <col min="5" max="5" width="9.1640625" style="1"/>
    <col min="6" max="6" width="26.6640625" style="1" customWidth="1"/>
    <col min="7" max="7" width="13.6640625" style="1" customWidth="1"/>
    <col min="8" max="8" width="12.1640625" style="1" customWidth="1"/>
    <col min="9" max="9" width="18.5" style="1" customWidth="1"/>
    <col min="10" max="16384" width="9.1640625" style="1"/>
  </cols>
  <sheetData>
    <row r="1" spans="1:9" x14ac:dyDescent="0.15">
      <c r="A1" s="1" t="s">
        <v>170</v>
      </c>
      <c r="B1" s="1" t="s">
        <v>171</v>
      </c>
      <c r="C1" s="1" t="s">
        <v>1026</v>
      </c>
      <c r="G1" s="38" t="s">
        <v>218</v>
      </c>
      <c r="H1" s="38" t="s">
        <v>215</v>
      </c>
      <c r="I1" s="38" t="s">
        <v>219</v>
      </c>
    </row>
    <row r="2" spans="1:9" x14ac:dyDescent="0.15">
      <c r="A2" s="1">
        <v>1000</v>
      </c>
      <c r="B2" s="1" t="s">
        <v>77</v>
      </c>
      <c r="C2" s="1">
        <v>2600</v>
      </c>
      <c r="F2" s="38" t="s">
        <v>178</v>
      </c>
      <c r="G2" s="39">
        <v>520</v>
      </c>
      <c r="H2" s="39">
        <v>580</v>
      </c>
      <c r="I2" s="39">
        <v>444</v>
      </c>
    </row>
    <row r="3" spans="1:9" x14ac:dyDescent="0.15">
      <c r="A3" s="1">
        <v>1002</v>
      </c>
      <c r="B3" s="1" t="s">
        <v>78</v>
      </c>
      <c r="C3" s="1">
        <v>2600</v>
      </c>
      <c r="F3" s="38" t="s">
        <v>179</v>
      </c>
      <c r="G3" s="39">
        <v>596</v>
      </c>
      <c r="H3" s="39">
        <v>465</v>
      </c>
      <c r="I3" s="39">
        <v>516</v>
      </c>
    </row>
    <row r="4" spans="1:9" x14ac:dyDescent="0.15">
      <c r="A4" s="1">
        <v>1004</v>
      </c>
      <c r="B4" s="1" t="s">
        <v>79</v>
      </c>
      <c r="C4" s="1">
        <v>2600</v>
      </c>
      <c r="F4" s="38" t="s">
        <v>180</v>
      </c>
      <c r="G4" s="39">
        <v>330</v>
      </c>
      <c r="H4" s="39">
        <v>449</v>
      </c>
      <c r="I4" s="39">
        <v>180</v>
      </c>
    </row>
    <row r="5" spans="1:9" x14ac:dyDescent="0.15">
      <c r="A5" s="1">
        <v>1040</v>
      </c>
      <c r="B5" s="1" t="s">
        <v>80</v>
      </c>
      <c r="C5" s="1">
        <v>2600</v>
      </c>
      <c r="F5" s="38" t="s">
        <v>181</v>
      </c>
      <c r="G5" s="39">
        <v>96</v>
      </c>
      <c r="H5" s="39">
        <v>156</v>
      </c>
      <c r="I5" s="39">
        <v>0</v>
      </c>
    </row>
    <row r="6" spans="1:9" x14ac:dyDescent="0.15">
      <c r="A6" s="1">
        <v>1050</v>
      </c>
      <c r="B6" s="1" t="s">
        <v>81</v>
      </c>
      <c r="C6" s="1">
        <v>2600</v>
      </c>
      <c r="F6" s="38" t="s">
        <v>182</v>
      </c>
      <c r="G6" s="39">
        <v>360</v>
      </c>
      <c r="H6" s="39">
        <v>420</v>
      </c>
      <c r="I6" s="39">
        <v>432</v>
      </c>
    </row>
    <row r="7" spans="1:9" x14ac:dyDescent="0.15">
      <c r="A7" s="1">
        <v>1100</v>
      </c>
      <c r="B7" s="1" t="s">
        <v>82</v>
      </c>
      <c r="C7" s="1">
        <v>2600</v>
      </c>
      <c r="F7" s="38" t="s">
        <v>183</v>
      </c>
      <c r="G7" s="48">
        <v>360</v>
      </c>
      <c r="H7" s="48">
        <v>420</v>
      </c>
      <c r="I7" s="48">
        <v>304</v>
      </c>
    </row>
    <row r="8" spans="1:9" x14ac:dyDescent="0.15">
      <c r="A8" s="1">
        <v>1101</v>
      </c>
      <c r="B8" s="1" t="s">
        <v>83</v>
      </c>
      <c r="C8" s="1">
        <v>2600</v>
      </c>
      <c r="F8" s="38" t="s">
        <v>184</v>
      </c>
      <c r="G8" s="39">
        <v>115</v>
      </c>
      <c r="H8" s="39">
        <v>38</v>
      </c>
      <c r="I8" s="39">
        <v>150</v>
      </c>
    </row>
    <row r="9" spans="1:9" x14ac:dyDescent="0.15">
      <c r="A9" s="1">
        <v>1102</v>
      </c>
      <c r="B9" s="1" t="s">
        <v>84</v>
      </c>
      <c r="C9" s="1">
        <v>2600</v>
      </c>
      <c r="F9" s="38" t="s">
        <v>185</v>
      </c>
      <c r="G9" s="39">
        <v>240</v>
      </c>
      <c r="H9" s="39">
        <v>282</v>
      </c>
      <c r="I9" s="39">
        <v>85</v>
      </c>
    </row>
    <row r="10" spans="1:9" x14ac:dyDescent="0.15">
      <c r="A10" s="1">
        <v>1103</v>
      </c>
      <c r="B10" s="1" t="s">
        <v>85</v>
      </c>
      <c r="C10" s="1">
        <v>2600</v>
      </c>
      <c r="F10" s="38" t="s">
        <v>186</v>
      </c>
      <c r="G10" s="39">
        <v>394</v>
      </c>
      <c r="H10" s="39">
        <v>454</v>
      </c>
      <c r="I10" s="39">
        <v>318</v>
      </c>
    </row>
    <row r="11" spans="1:9" x14ac:dyDescent="0.15">
      <c r="A11" s="1">
        <v>1104</v>
      </c>
      <c r="B11" s="1" t="s">
        <v>86</v>
      </c>
      <c r="C11" s="1">
        <v>2600</v>
      </c>
      <c r="F11" s="38" t="s">
        <v>187</v>
      </c>
      <c r="G11" s="39">
        <v>10</v>
      </c>
      <c r="H11" s="39">
        <v>70</v>
      </c>
      <c r="I11" s="39">
        <v>45</v>
      </c>
    </row>
    <row r="12" spans="1:9" x14ac:dyDescent="0.15">
      <c r="A12" s="1">
        <v>2000</v>
      </c>
      <c r="B12" s="1" t="s">
        <v>87</v>
      </c>
      <c r="C12" s="1">
        <v>2600</v>
      </c>
      <c r="F12" s="38" t="s">
        <v>188</v>
      </c>
      <c r="G12" s="39">
        <v>206</v>
      </c>
      <c r="H12" s="39">
        <v>266</v>
      </c>
      <c r="I12" s="39">
        <v>118</v>
      </c>
    </row>
    <row r="13" spans="1:9" x14ac:dyDescent="0.15">
      <c r="A13" s="1">
        <v>2001</v>
      </c>
      <c r="B13" s="1" t="s">
        <v>88</v>
      </c>
      <c r="C13" s="1">
        <v>2600</v>
      </c>
      <c r="F13" s="38" t="s">
        <v>189</v>
      </c>
      <c r="G13" s="39">
        <v>364</v>
      </c>
      <c r="H13" s="39">
        <v>0</v>
      </c>
      <c r="I13" s="39">
        <v>0</v>
      </c>
    </row>
    <row r="14" spans="1:9" x14ac:dyDescent="0.15">
      <c r="A14" s="1">
        <v>2002</v>
      </c>
      <c r="B14" s="1" t="s">
        <v>89</v>
      </c>
      <c r="C14" s="1">
        <v>2600</v>
      </c>
      <c r="F14" s="38" t="s">
        <v>190</v>
      </c>
      <c r="G14" s="39">
        <v>50</v>
      </c>
      <c r="H14" s="39">
        <v>10</v>
      </c>
      <c r="I14" s="39">
        <v>126</v>
      </c>
    </row>
    <row r="15" spans="1:9" x14ac:dyDescent="0.15">
      <c r="A15" s="1">
        <v>2003</v>
      </c>
      <c r="B15" s="1" t="s">
        <v>90</v>
      </c>
      <c r="C15" s="1">
        <v>2600</v>
      </c>
      <c r="F15" s="38" t="s">
        <v>191</v>
      </c>
      <c r="G15" s="39">
        <v>20</v>
      </c>
      <c r="H15" s="39">
        <v>80</v>
      </c>
      <c r="I15" s="39">
        <v>56</v>
      </c>
    </row>
    <row r="16" spans="1:9" x14ac:dyDescent="0.15">
      <c r="A16" s="1">
        <v>2004</v>
      </c>
      <c r="B16" s="1" t="s">
        <v>91</v>
      </c>
      <c r="C16" s="1">
        <v>2600</v>
      </c>
      <c r="F16" s="38" t="s">
        <v>192</v>
      </c>
      <c r="G16" s="39">
        <v>345</v>
      </c>
      <c r="H16" s="39">
        <v>405</v>
      </c>
      <c r="I16" s="39">
        <v>152</v>
      </c>
    </row>
    <row r="17" spans="1:9" x14ac:dyDescent="0.15">
      <c r="A17" s="1">
        <v>2006</v>
      </c>
      <c r="B17" s="1" t="s">
        <v>92</v>
      </c>
      <c r="C17" s="1">
        <v>2600</v>
      </c>
      <c r="F17" s="38" t="s">
        <v>193</v>
      </c>
      <c r="G17" s="39">
        <v>466</v>
      </c>
      <c r="H17" s="39">
        <v>526</v>
      </c>
      <c r="I17" s="39">
        <v>474</v>
      </c>
    </row>
    <row r="18" spans="1:9" x14ac:dyDescent="0.15">
      <c r="A18" s="1">
        <v>2008</v>
      </c>
      <c r="B18" s="1" t="s">
        <v>93</v>
      </c>
      <c r="C18" s="1">
        <v>2600</v>
      </c>
      <c r="F18" s="38" t="s">
        <v>194</v>
      </c>
      <c r="G18" s="39">
        <v>494</v>
      </c>
      <c r="H18" s="39">
        <v>554</v>
      </c>
      <c r="I18" s="39">
        <v>418</v>
      </c>
    </row>
    <row r="19" spans="1:9" x14ac:dyDescent="0.15">
      <c r="A19" s="1">
        <v>2010</v>
      </c>
      <c r="B19" s="1" t="s">
        <v>94</v>
      </c>
      <c r="C19" s="1">
        <v>2600</v>
      </c>
      <c r="F19" s="38" t="s">
        <v>195</v>
      </c>
      <c r="G19" s="39">
        <v>380</v>
      </c>
      <c r="H19" s="39">
        <v>440</v>
      </c>
      <c r="I19" s="39">
        <v>388</v>
      </c>
    </row>
    <row r="20" spans="1:9" x14ac:dyDescent="0.15">
      <c r="A20" s="1">
        <v>2013</v>
      </c>
      <c r="B20" s="1" t="s">
        <v>95</v>
      </c>
      <c r="C20" s="1">
        <v>2600</v>
      </c>
      <c r="F20" s="38" t="s">
        <v>196</v>
      </c>
      <c r="G20" s="39">
        <v>290</v>
      </c>
      <c r="H20" s="39">
        <v>350</v>
      </c>
      <c r="I20" s="39">
        <v>298</v>
      </c>
    </row>
    <row r="21" spans="1:9" x14ac:dyDescent="0.15">
      <c r="A21" s="1">
        <v>2100</v>
      </c>
      <c r="B21" s="1" t="s">
        <v>96</v>
      </c>
      <c r="C21" s="1">
        <v>2600</v>
      </c>
      <c r="F21" s="38" t="s">
        <v>197</v>
      </c>
      <c r="G21" s="39">
        <v>502</v>
      </c>
      <c r="H21" s="39">
        <v>562</v>
      </c>
      <c r="I21" s="39">
        <v>426</v>
      </c>
    </row>
    <row r="22" spans="1:9" x14ac:dyDescent="0.15">
      <c r="A22" s="1">
        <v>2102</v>
      </c>
      <c r="B22" s="1" t="s">
        <v>97</v>
      </c>
      <c r="C22" s="1">
        <v>2600</v>
      </c>
      <c r="F22" s="38" t="s">
        <v>198</v>
      </c>
      <c r="G22" s="39">
        <v>12</v>
      </c>
      <c r="H22" s="39">
        <v>60</v>
      </c>
      <c r="I22" s="39">
        <v>88</v>
      </c>
    </row>
    <row r="23" spans="1:9" x14ac:dyDescent="0.15">
      <c r="A23" s="1">
        <v>2103</v>
      </c>
      <c r="B23" s="1" t="s">
        <v>98</v>
      </c>
      <c r="C23" s="1">
        <v>2600</v>
      </c>
      <c r="F23" s="38" t="s">
        <v>199</v>
      </c>
      <c r="G23" s="39">
        <v>170</v>
      </c>
      <c r="H23" s="39">
        <v>230</v>
      </c>
      <c r="I23" s="39">
        <v>140</v>
      </c>
    </row>
    <row r="24" spans="1:9" x14ac:dyDescent="0.15">
      <c r="A24" s="1">
        <v>2104</v>
      </c>
      <c r="B24" s="1" t="s">
        <v>99</v>
      </c>
      <c r="C24" s="1">
        <v>2600</v>
      </c>
      <c r="F24" s="38" t="s">
        <v>200</v>
      </c>
      <c r="G24" s="39">
        <v>26</v>
      </c>
      <c r="H24" s="39">
        <v>86</v>
      </c>
      <c r="I24" s="39">
        <v>50</v>
      </c>
    </row>
    <row r="25" spans="1:9" x14ac:dyDescent="0.15">
      <c r="A25" s="1">
        <v>2105</v>
      </c>
      <c r="B25" s="1" t="s">
        <v>100</v>
      </c>
      <c r="C25" s="1">
        <v>2600</v>
      </c>
      <c r="F25" s="38" t="s">
        <v>201</v>
      </c>
      <c r="G25" s="48">
        <v>76</v>
      </c>
      <c r="H25" s="48">
        <v>136</v>
      </c>
      <c r="I25" s="39">
        <v>0</v>
      </c>
    </row>
    <row r="26" spans="1:9" x14ac:dyDescent="0.15">
      <c r="A26" s="1">
        <v>2106</v>
      </c>
      <c r="B26" s="1" t="s">
        <v>101</v>
      </c>
      <c r="C26" s="1">
        <v>2600</v>
      </c>
      <c r="F26" s="38" t="s">
        <v>202</v>
      </c>
      <c r="G26" s="39">
        <v>170</v>
      </c>
      <c r="H26" s="39">
        <v>230</v>
      </c>
      <c r="I26" s="39">
        <v>138</v>
      </c>
    </row>
    <row r="27" spans="1:9" x14ac:dyDescent="0.15">
      <c r="A27" s="1">
        <v>2107</v>
      </c>
      <c r="B27" s="1" t="s">
        <v>102</v>
      </c>
      <c r="C27" s="1">
        <v>2600</v>
      </c>
      <c r="F27" s="38" t="s">
        <v>203</v>
      </c>
      <c r="G27" s="39">
        <v>7</v>
      </c>
      <c r="H27" s="39">
        <v>60</v>
      </c>
      <c r="I27" s="39">
        <v>83</v>
      </c>
    </row>
    <row r="28" spans="1:9" x14ac:dyDescent="0.15">
      <c r="A28" s="1">
        <v>2108</v>
      </c>
      <c r="B28" s="1" t="s">
        <v>93</v>
      </c>
      <c r="C28" s="1">
        <v>2600</v>
      </c>
      <c r="F28" s="38" t="s">
        <v>204</v>
      </c>
      <c r="G28" s="39">
        <v>88</v>
      </c>
      <c r="H28" s="39">
        <v>148</v>
      </c>
      <c r="I28" s="39">
        <v>12</v>
      </c>
    </row>
    <row r="29" spans="1:9" x14ac:dyDescent="0.15">
      <c r="A29" s="1">
        <v>2109</v>
      </c>
      <c r="B29" s="1" t="s">
        <v>103</v>
      </c>
      <c r="C29" s="1">
        <v>2600</v>
      </c>
      <c r="F29" s="38" t="s">
        <v>205</v>
      </c>
      <c r="G29" s="39">
        <v>180</v>
      </c>
      <c r="H29" s="39">
        <v>240</v>
      </c>
      <c r="I29" s="39">
        <v>104</v>
      </c>
    </row>
    <row r="30" spans="1:9" x14ac:dyDescent="0.15">
      <c r="A30" s="1">
        <v>3009</v>
      </c>
      <c r="B30" s="1" t="s">
        <v>104</v>
      </c>
      <c r="C30" s="1">
        <v>2600</v>
      </c>
      <c r="F30" s="38" t="s">
        <v>206</v>
      </c>
      <c r="G30" s="39">
        <v>594</v>
      </c>
      <c r="H30" s="39">
        <v>654</v>
      </c>
      <c r="I30" s="39">
        <v>518</v>
      </c>
    </row>
    <row r="31" spans="1:9" x14ac:dyDescent="0.15">
      <c r="A31" s="1">
        <v>3012</v>
      </c>
      <c r="B31" s="1" t="s">
        <v>105</v>
      </c>
      <c r="C31" s="1">
        <v>2600</v>
      </c>
      <c r="F31" s="38" t="s">
        <v>207</v>
      </c>
      <c r="G31" s="39">
        <v>120</v>
      </c>
      <c r="H31" s="39">
        <v>50</v>
      </c>
      <c r="I31" s="39">
        <v>196</v>
      </c>
    </row>
    <row r="32" spans="1:9" x14ac:dyDescent="0.15">
      <c r="A32" s="1">
        <v>3016</v>
      </c>
      <c r="B32" s="1" t="s">
        <v>106</v>
      </c>
      <c r="C32" s="1">
        <v>2600</v>
      </c>
      <c r="F32" s="38" t="s">
        <v>208</v>
      </c>
      <c r="G32" s="39">
        <v>280</v>
      </c>
      <c r="H32" s="39">
        <v>340</v>
      </c>
      <c r="I32" s="39">
        <v>204</v>
      </c>
    </row>
    <row r="33" spans="1:9" x14ac:dyDescent="0.15">
      <c r="A33" s="1">
        <v>3020</v>
      </c>
      <c r="B33" s="1" t="s">
        <v>107</v>
      </c>
      <c r="C33" s="1">
        <v>2600</v>
      </c>
      <c r="F33" s="38" t="s">
        <v>209</v>
      </c>
      <c r="G33" s="39">
        <v>494</v>
      </c>
      <c r="H33" s="39">
        <v>0</v>
      </c>
      <c r="I33" s="39">
        <v>0</v>
      </c>
    </row>
    <row r="34" spans="1:9" x14ac:dyDescent="0.15">
      <c r="A34" s="1">
        <v>3022</v>
      </c>
      <c r="B34" s="1" t="s">
        <v>108</v>
      </c>
      <c r="C34" s="1">
        <v>2600</v>
      </c>
      <c r="F34" s="38" t="s">
        <v>210</v>
      </c>
      <c r="G34" s="39">
        <v>100</v>
      </c>
      <c r="H34" s="39">
        <v>160</v>
      </c>
      <c r="I34" s="39">
        <v>24</v>
      </c>
    </row>
    <row r="35" spans="1:9" x14ac:dyDescent="0.15">
      <c r="A35" s="1">
        <v>3024</v>
      </c>
      <c r="B35" s="1" t="s">
        <v>109</v>
      </c>
      <c r="C35" s="1">
        <v>2600</v>
      </c>
      <c r="F35" s="38" t="s">
        <v>211</v>
      </c>
      <c r="G35" s="39">
        <v>13</v>
      </c>
      <c r="H35" s="39">
        <v>62</v>
      </c>
      <c r="I35" s="39">
        <v>89</v>
      </c>
    </row>
    <row r="36" spans="1:9" x14ac:dyDescent="0.15">
      <c r="A36" s="1">
        <v>3030</v>
      </c>
      <c r="B36" s="1" t="s">
        <v>110</v>
      </c>
      <c r="C36" s="1">
        <v>2600</v>
      </c>
      <c r="F36" s="38" t="s">
        <v>212</v>
      </c>
      <c r="G36" s="39">
        <v>72</v>
      </c>
      <c r="H36" s="39">
        <v>12</v>
      </c>
      <c r="I36" s="39">
        <v>148</v>
      </c>
    </row>
    <row r="37" spans="1:9" x14ac:dyDescent="0.15">
      <c r="A37" s="1">
        <v>3032</v>
      </c>
      <c r="B37" s="1" t="s">
        <v>111</v>
      </c>
      <c r="C37" s="1">
        <v>2600</v>
      </c>
      <c r="F37" s="38" t="s">
        <v>213</v>
      </c>
      <c r="G37" s="39">
        <v>594</v>
      </c>
      <c r="H37" s="39">
        <v>834</v>
      </c>
      <c r="I37" s="39">
        <v>670</v>
      </c>
    </row>
    <row r="38" spans="1:9" x14ac:dyDescent="0.15">
      <c r="A38" s="1">
        <v>3034</v>
      </c>
      <c r="B38" s="1" t="s">
        <v>112</v>
      </c>
      <c r="C38" s="1">
        <v>2600</v>
      </c>
      <c r="F38" s="38" t="s">
        <v>214</v>
      </c>
      <c r="G38" s="39">
        <v>124</v>
      </c>
      <c r="H38" s="39">
        <v>0</v>
      </c>
      <c r="I38" s="39">
        <v>0</v>
      </c>
    </row>
    <row r="39" spans="1:9" x14ac:dyDescent="0.15">
      <c r="A39" s="1">
        <v>3040</v>
      </c>
      <c r="B39" s="1" t="s">
        <v>113</v>
      </c>
      <c r="C39" s="1">
        <v>2600</v>
      </c>
      <c r="F39" s="38" t="s">
        <v>215</v>
      </c>
      <c r="G39" s="48">
        <v>60</v>
      </c>
      <c r="H39" s="39">
        <v>0</v>
      </c>
      <c r="I39" s="48">
        <v>130</v>
      </c>
    </row>
    <row r="40" spans="1:9" x14ac:dyDescent="0.15">
      <c r="A40" s="1">
        <v>3041</v>
      </c>
      <c r="B40" s="1" t="s">
        <v>114</v>
      </c>
      <c r="C40" s="1">
        <v>2600</v>
      </c>
      <c r="F40" s="38" t="s">
        <v>216</v>
      </c>
      <c r="G40" s="39">
        <v>36</v>
      </c>
      <c r="H40" s="39">
        <v>26</v>
      </c>
      <c r="I40" s="39">
        <v>112</v>
      </c>
    </row>
    <row r="41" spans="1:9" x14ac:dyDescent="0.15">
      <c r="A41" s="1">
        <v>3042</v>
      </c>
      <c r="B41" s="1" t="s">
        <v>115</v>
      </c>
      <c r="C41" s="1">
        <v>2600</v>
      </c>
      <c r="F41" s="38" t="s">
        <v>217</v>
      </c>
      <c r="G41" s="39">
        <v>28</v>
      </c>
      <c r="H41" s="39">
        <v>72</v>
      </c>
      <c r="I41" s="39">
        <v>104</v>
      </c>
    </row>
    <row r="42" spans="1:9" x14ac:dyDescent="0.15">
      <c r="A42" s="1">
        <v>3046</v>
      </c>
      <c r="B42" s="1" t="s">
        <v>116</v>
      </c>
      <c r="C42" s="1">
        <v>2600</v>
      </c>
      <c r="F42" s="38" t="s">
        <v>218</v>
      </c>
      <c r="G42" s="39">
        <v>0</v>
      </c>
      <c r="H42" s="48">
        <v>60</v>
      </c>
      <c r="I42" s="48">
        <v>76</v>
      </c>
    </row>
    <row r="43" spans="1:9" x14ac:dyDescent="0.15">
      <c r="A43" s="1">
        <v>3051</v>
      </c>
      <c r="B43" s="1" t="s">
        <v>117</v>
      </c>
      <c r="C43" s="1">
        <v>2600</v>
      </c>
    </row>
    <row r="44" spans="1:9" x14ac:dyDescent="0.15">
      <c r="A44" s="1">
        <v>3052</v>
      </c>
      <c r="B44" s="1" t="s">
        <v>118</v>
      </c>
      <c r="C44" s="1">
        <v>2600</v>
      </c>
    </row>
    <row r="45" spans="1:9" x14ac:dyDescent="0.15">
      <c r="A45" s="1">
        <v>3053</v>
      </c>
      <c r="B45" s="1" t="s">
        <v>119</v>
      </c>
      <c r="C45" s="1">
        <v>2600</v>
      </c>
    </row>
    <row r="46" spans="1:9" x14ac:dyDescent="0.15">
      <c r="A46" s="1">
        <v>3055</v>
      </c>
      <c r="B46" s="1" t="s">
        <v>120</v>
      </c>
      <c r="C46" s="1">
        <v>2600</v>
      </c>
    </row>
    <row r="47" spans="1:9" x14ac:dyDescent="0.15">
      <c r="A47" s="1">
        <v>3056</v>
      </c>
      <c r="B47" s="1" t="s">
        <v>121</v>
      </c>
      <c r="C47" s="1">
        <v>2600</v>
      </c>
    </row>
    <row r="48" spans="1:9" x14ac:dyDescent="0.15">
      <c r="A48" s="1">
        <v>3060</v>
      </c>
      <c r="B48" s="1" t="s">
        <v>122</v>
      </c>
      <c r="C48" s="1">
        <v>2600</v>
      </c>
    </row>
    <row r="49" spans="1:3" x14ac:dyDescent="0.15">
      <c r="A49" s="1">
        <v>3070</v>
      </c>
      <c r="B49" s="1" t="s">
        <v>123</v>
      </c>
      <c r="C49" s="1">
        <v>2600</v>
      </c>
    </row>
    <row r="50" spans="1:3" x14ac:dyDescent="0.15">
      <c r="A50" s="1">
        <v>3072</v>
      </c>
      <c r="B50" s="1" t="s">
        <v>124</v>
      </c>
      <c r="C50" s="1">
        <v>2600</v>
      </c>
    </row>
    <row r="51" spans="1:3" x14ac:dyDescent="0.15">
      <c r="A51" s="1">
        <v>3073</v>
      </c>
      <c r="B51" s="1" t="s">
        <v>125</v>
      </c>
      <c r="C51" s="1">
        <v>2600</v>
      </c>
    </row>
    <row r="52" spans="1:3" x14ac:dyDescent="0.15">
      <c r="A52" s="1">
        <v>3080</v>
      </c>
      <c r="B52" s="1" t="s">
        <v>126</v>
      </c>
      <c r="C52" s="1">
        <v>2600</v>
      </c>
    </row>
    <row r="53" spans="1:3" x14ac:dyDescent="0.15">
      <c r="A53" s="1">
        <v>3082</v>
      </c>
      <c r="B53" s="1" t="s">
        <v>127</v>
      </c>
      <c r="C53" s="1">
        <v>2600</v>
      </c>
    </row>
    <row r="54" spans="1:3" x14ac:dyDescent="0.15">
      <c r="A54" s="1">
        <v>3083</v>
      </c>
      <c r="B54" s="1" t="s">
        <v>128</v>
      </c>
      <c r="C54" s="1">
        <v>2600</v>
      </c>
    </row>
    <row r="55" spans="1:3" x14ac:dyDescent="0.15">
      <c r="A55" s="1">
        <v>3084</v>
      </c>
      <c r="B55" s="1" t="s">
        <v>129</v>
      </c>
      <c r="C55" s="1">
        <v>2600</v>
      </c>
    </row>
    <row r="56" spans="1:3" x14ac:dyDescent="0.15">
      <c r="A56" s="1">
        <v>3086</v>
      </c>
      <c r="B56" s="1" t="s">
        <v>130</v>
      </c>
      <c r="C56" s="1">
        <v>2600</v>
      </c>
    </row>
    <row r="57" spans="1:3" x14ac:dyDescent="0.15">
      <c r="A57" s="1">
        <v>3088</v>
      </c>
      <c r="B57" s="1" t="s">
        <v>131</v>
      </c>
      <c r="C57" s="1">
        <v>2600</v>
      </c>
    </row>
    <row r="58" spans="1:3" x14ac:dyDescent="0.15">
      <c r="A58" s="1">
        <v>3089</v>
      </c>
      <c r="B58" s="1" t="s">
        <v>132</v>
      </c>
      <c r="C58" s="1">
        <v>2600</v>
      </c>
    </row>
    <row r="59" spans="1:3" x14ac:dyDescent="0.15">
      <c r="A59" s="1">
        <v>3090</v>
      </c>
      <c r="B59" s="1" t="s">
        <v>133</v>
      </c>
      <c r="C59" s="1">
        <v>2600</v>
      </c>
    </row>
    <row r="60" spans="1:3" x14ac:dyDescent="0.15">
      <c r="A60" s="1">
        <v>3200</v>
      </c>
      <c r="B60" s="1" t="s">
        <v>134</v>
      </c>
      <c r="C60" s="1">
        <v>2600</v>
      </c>
    </row>
    <row r="61" spans="1:3" x14ac:dyDescent="0.15">
      <c r="A61" s="1">
        <v>3300</v>
      </c>
      <c r="B61" s="1" t="s">
        <v>135</v>
      </c>
      <c r="C61" s="1">
        <v>2600</v>
      </c>
    </row>
    <row r="62" spans="1:3" x14ac:dyDescent="0.15">
      <c r="A62" s="1">
        <v>3416</v>
      </c>
      <c r="B62" s="1" t="s">
        <v>136</v>
      </c>
      <c r="C62" s="1">
        <v>2600</v>
      </c>
    </row>
    <row r="63" spans="1:3" x14ac:dyDescent="0.15">
      <c r="A63" s="1">
        <v>3400</v>
      </c>
      <c r="B63" s="1" t="s">
        <v>137</v>
      </c>
      <c r="C63" s="1">
        <v>2600</v>
      </c>
    </row>
    <row r="64" spans="1:3" x14ac:dyDescent="0.15">
      <c r="A64" s="1">
        <v>3500</v>
      </c>
      <c r="B64" s="1" t="s">
        <v>138</v>
      </c>
      <c r="C64" s="1">
        <v>2600</v>
      </c>
    </row>
    <row r="65" spans="1:3" x14ac:dyDescent="0.15">
      <c r="A65" s="1">
        <v>3600</v>
      </c>
      <c r="B65" s="1" t="s">
        <v>1142</v>
      </c>
      <c r="C65" s="1">
        <v>2600</v>
      </c>
    </row>
    <row r="66" spans="1:3" x14ac:dyDescent="0.15">
      <c r="A66" s="1">
        <v>3700</v>
      </c>
      <c r="B66" s="1" t="s">
        <v>139</v>
      </c>
      <c r="C66" s="1">
        <v>2600</v>
      </c>
    </row>
    <row r="67" spans="1:3" x14ac:dyDescent="0.15">
      <c r="A67" s="1">
        <v>3800</v>
      </c>
      <c r="B67" s="1" t="s">
        <v>140</v>
      </c>
      <c r="C67" s="1">
        <v>2600</v>
      </c>
    </row>
    <row r="68" spans="1:3" x14ac:dyDescent="0.15">
      <c r="A68" s="1">
        <v>3900</v>
      </c>
      <c r="B68" s="1" t="s">
        <v>141</v>
      </c>
      <c r="C68" s="1">
        <v>2600</v>
      </c>
    </row>
    <row r="69" spans="1:3" x14ac:dyDescent="0.15">
      <c r="A69" s="1">
        <v>3901</v>
      </c>
      <c r="B69" s="1" t="s">
        <v>142</v>
      </c>
      <c r="C69" s="1">
        <v>8774</v>
      </c>
    </row>
    <row r="70" spans="1:3" x14ac:dyDescent="0.15">
      <c r="A70" s="1">
        <v>3902</v>
      </c>
      <c r="B70" s="1" t="s">
        <v>25</v>
      </c>
      <c r="C70" s="1">
        <v>2600</v>
      </c>
    </row>
    <row r="71" spans="1:3" x14ac:dyDescent="0.15">
      <c r="A71" s="1">
        <v>4000</v>
      </c>
      <c r="B71" s="1" t="s">
        <v>143</v>
      </c>
      <c r="C71" s="1">
        <v>2600</v>
      </c>
    </row>
    <row r="72" spans="1:3" x14ac:dyDescent="0.15">
      <c r="A72" s="1">
        <v>4444</v>
      </c>
      <c r="B72" s="1" t="s">
        <v>144</v>
      </c>
      <c r="C72" s="1">
        <v>8774</v>
      </c>
    </row>
    <row r="73" spans="1:3" x14ac:dyDescent="0.15">
      <c r="A73" s="1">
        <v>5000</v>
      </c>
      <c r="B73" s="1" t="s">
        <v>145</v>
      </c>
      <c r="C73" s="1">
        <v>2700</v>
      </c>
    </row>
    <row r="74" spans="1:3" x14ac:dyDescent="0.15">
      <c r="A74" s="1">
        <v>5004</v>
      </c>
      <c r="B74" s="1" t="s">
        <v>146</v>
      </c>
      <c r="C74" s="1">
        <v>2700</v>
      </c>
    </row>
    <row r="75" spans="1:3" x14ac:dyDescent="0.15">
      <c r="A75" s="1">
        <v>5005</v>
      </c>
      <c r="B75" s="1" t="s">
        <v>147</v>
      </c>
      <c r="C75" s="1">
        <v>4731</v>
      </c>
    </row>
    <row r="76" spans="1:3" x14ac:dyDescent="0.15">
      <c r="A76" s="1">
        <v>5007</v>
      </c>
      <c r="B76" s="1" t="s">
        <v>148</v>
      </c>
      <c r="C76" s="1">
        <v>2600</v>
      </c>
    </row>
    <row r="77" spans="1:3" x14ac:dyDescent="0.15">
      <c r="A77" s="1">
        <v>5008</v>
      </c>
      <c r="B77" s="1" t="s">
        <v>149</v>
      </c>
      <c r="C77" s="1">
        <v>2600</v>
      </c>
    </row>
    <row r="78" spans="1:3" x14ac:dyDescent="0.15">
      <c r="A78" s="1">
        <v>5010</v>
      </c>
      <c r="B78" s="1" t="s">
        <v>150</v>
      </c>
      <c r="C78" s="1">
        <v>2700</v>
      </c>
    </row>
    <row r="79" spans="1:3" x14ac:dyDescent="0.15">
      <c r="A79" s="1">
        <v>5012</v>
      </c>
      <c r="B79" s="1" t="s">
        <v>151</v>
      </c>
      <c r="C79" s="1">
        <v>2600</v>
      </c>
    </row>
    <row r="80" spans="1:3" x14ac:dyDescent="0.15">
      <c r="A80" s="1">
        <v>5013</v>
      </c>
      <c r="B80" s="1" t="s">
        <v>152</v>
      </c>
      <c r="C80" s="1">
        <v>2600</v>
      </c>
    </row>
    <row r="81" spans="1:3" x14ac:dyDescent="0.15">
      <c r="A81" s="1">
        <v>5014</v>
      </c>
      <c r="B81" s="1" t="s">
        <v>153</v>
      </c>
      <c r="C81" s="1">
        <v>2600</v>
      </c>
    </row>
    <row r="82" spans="1:3" x14ac:dyDescent="0.15">
      <c r="A82" s="1">
        <v>5021</v>
      </c>
      <c r="B82" s="1" t="s">
        <v>154</v>
      </c>
      <c r="C82" s="1">
        <v>2600</v>
      </c>
    </row>
    <row r="83" spans="1:3" x14ac:dyDescent="0.15">
      <c r="A83" s="1">
        <v>6000</v>
      </c>
      <c r="B83" s="1" t="s">
        <v>155</v>
      </c>
      <c r="C83" s="1">
        <v>2600</v>
      </c>
    </row>
    <row r="84" spans="1:3" x14ac:dyDescent="0.15">
      <c r="A84" s="1">
        <v>6001</v>
      </c>
      <c r="B84" s="1" t="s">
        <v>156</v>
      </c>
      <c r="C84" s="1">
        <v>2600</v>
      </c>
    </row>
    <row r="85" spans="1:3" x14ac:dyDescent="0.15">
      <c r="A85" s="1">
        <v>6002</v>
      </c>
      <c r="B85" s="1" t="s">
        <v>157</v>
      </c>
      <c r="C85" s="1">
        <v>2600</v>
      </c>
    </row>
    <row r="86" spans="1:3" x14ac:dyDescent="0.15">
      <c r="A86" s="1">
        <v>6003</v>
      </c>
      <c r="B86" s="1" t="s">
        <v>158</v>
      </c>
      <c r="C86" s="1">
        <v>2600</v>
      </c>
    </row>
    <row r="87" spans="1:3" x14ac:dyDescent="0.15">
      <c r="A87" s="1">
        <v>7006</v>
      </c>
      <c r="B87" s="1" t="s">
        <v>159</v>
      </c>
      <c r="C87" s="1">
        <v>2600</v>
      </c>
    </row>
    <row r="88" spans="1:3" x14ac:dyDescent="0.15">
      <c r="A88" s="1">
        <v>8000</v>
      </c>
      <c r="B88" s="1" t="s">
        <v>160</v>
      </c>
      <c r="C88" s="1">
        <v>4731</v>
      </c>
    </row>
    <row r="89" spans="1:3" x14ac:dyDescent="0.15">
      <c r="A89" s="1">
        <v>8004</v>
      </c>
      <c r="B89" s="1" t="s">
        <v>161</v>
      </c>
      <c r="C89" s="1">
        <v>4731</v>
      </c>
    </row>
    <row r="90" spans="1:3" x14ac:dyDescent="0.15">
      <c r="A90" s="1">
        <v>8010</v>
      </c>
      <c r="B90" s="1" t="s">
        <v>162</v>
      </c>
      <c r="C90" s="1">
        <v>4731</v>
      </c>
    </row>
    <row r="91" spans="1:3" x14ac:dyDescent="0.15">
      <c r="A91" s="1">
        <v>8014</v>
      </c>
      <c r="B91" s="1" t="s">
        <v>163</v>
      </c>
      <c r="C91" s="1">
        <v>4731</v>
      </c>
    </row>
    <row r="92" spans="1:3" x14ac:dyDescent="0.15">
      <c r="A92" s="1">
        <v>8015</v>
      </c>
      <c r="B92" s="1" t="s">
        <v>164</v>
      </c>
      <c r="C92" s="1">
        <v>4731</v>
      </c>
    </row>
    <row r="93" spans="1:3" x14ac:dyDescent="0.15">
      <c r="A93" s="1">
        <v>8016</v>
      </c>
      <c r="B93" s="1" t="s">
        <v>165</v>
      </c>
      <c r="C93" s="1">
        <v>4731</v>
      </c>
    </row>
    <row r="94" spans="1:3" x14ac:dyDescent="0.15">
      <c r="A94" s="1">
        <v>8017</v>
      </c>
      <c r="B94" s="1" t="s">
        <v>166</v>
      </c>
      <c r="C94" s="1">
        <v>4731</v>
      </c>
    </row>
    <row r="95" spans="1:3" x14ac:dyDescent="0.15">
      <c r="A95" s="1">
        <v>8019</v>
      </c>
      <c r="B95" s="1" t="s">
        <v>167</v>
      </c>
      <c r="C95" s="1">
        <v>4731</v>
      </c>
    </row>
    <row r="96" spans="1:3" x14ac:dyDescent="0.15">
      <c r="A96" s="1">
        <v>8023</v>
      </c>
      <c r="B96" s="1" t="s">
        <v>168</v>
      </c>
      <c r="C96" s="1">
        <v>4731</v>
      </c>
    </row>
    <row r="97" spans="1:3" x14ac:dyDescent="0.15">
      <c r="A97" s="1">
        <v>8025</v>
      </c>
      <c r="B97" s="1" t="s">
        <v>169</v>
      </c>
      <c r="C97" s="1">
        <v>4731</v>
      </c>
    </row>
    <row r="98" spans="1:3" x14ac:dyDescent="0.15">
      <c r="A98" s="1">
        <v>8057</v>
      </c>
      <c r="B98" s="1" t="s">
        <v>1140</v>
      </c>
      <c r="C98" s="1">
        <v>4731</v>
      </c>
    </row>
    <row r="99" spans="1:3" x14ac:dyDescent="0.15">
      <c r="A99" s="1">
        <v>8085</v>
      </c>
      <c r="B99" s="1" t="s">
        <v>1145</v>
      </c>
      <c r="C99" s="1">
        <v>4731</v>
      </c>
    </row>
    <row r="100" spans="1:3" x14ac:dyDescent="0.15">
      <c r="A100" s="1">
        <v>9003</v>
      </c>
      <c r="B100" s="1" t="s">
        <v>1144</v>
      </c>
      <c r="C100" s="1">
        <v>8774</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3056-A842-4901-9195-3CD0E906232E}">
  <dimension ref="A1:AJ136"/>
  <sheetViews>
    <sheetView workbookViewId="0">
      <pane ySplit="2" topLeftCell="A3" activePane="bottomLeft" state="frozen"/>
      <selection pane="bottomLeft" activeCell="G4" sqref="G4"/>
    </sheetView>
  </sheetViews>
  <sheetFormatPr baseColWidth="10" defaultColWidth="8.83203125" defaultRowHeight="15" x14ac:dyDescent="0.2"/>
  <cols>
    <col min="1" max="1" width="26.1640625" bestFit="1" customWidth="1"/>
    <col min="2" max="2" width="20.5" customWidth="1"/>
    <col min="3" max="3" width="14.1640625" customWidth="1"/>
    <col min="4" max="4" width="15.83203125" bestFit="1" customWidth="1"/>
    <col min="5" max="5" width="14.6640625" customWidth="1"/>
    <col min="6" max="6" width="16.5" customWidth="1"/>
    <col min="7" max="7" width="18.1640625" style="415" bestFit="1" customWidth="1"/>
  </cols>
  <sheetData>
    <row r="1" spans="1:36" ht="21" x14ac:dyDescent="0.3">
      <c r="A1" s="677" t="s">
        <v>1007</v>
      </c>
      <c r="B1" s="677"/>
      <c r="C1" s="677"/>
      <c r="D1" s="677"/>
      <c r="E1" s="677"/>
      <c r="F1" s="677"/>
      <c r="G1" s="677"/>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row>
    <row r="2" spans="1:36" x14ac:dyDescent="0.2">
      <c r="A2" s="402" t="s">
        <v>1006</v>
      </c>
      <c r="B2" s="403" t="s">
        <v>1005</v>
      </c>
      <c r="C2" s="402" t="s">
        <v>1004</v>
      </c>
      <c r="D2" s="402" t="s">
        <v>1027</v>
      </c>
      <c r="E2" s="402" t="s">
        <v>1003</v>
      </c>
      <c r="F2" s="402" t="s">
        <v>1002</v>
      </c>
      <c r="G2" s="403" t="s">
        <v>1001</v>
      </c>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row>
    <row r="3" spans="1:36" x14ac:dyDescent="0.2">
      <c r="A3" t="s">
        <v>953</v>
      </c>
      <c r="B3" t="s">
        <v>405</v>
      </c>
      <c r="C3" t="s">
        <v>1028</v>
      </c>
      <c r="E3" t="s">
        <v>856</v>
      </c>
      <c r="F3" t="s">
        <v>855</v>
      </c>
      <c r="G3" s="415" t="s">
        <v>1029</v>
      </c>
    </row>
    <row r="4" spans="1:36" x14ac:dyDescent="0.2">
      <c r="A4" t="s">
        <v>1030</v>
      </c>
      <c r="B4" t="s">
        <v>375</v>
      </c>
      <c r="C4" t="s">
        <v>911</v>
      </c>
      <c r="E4" t="s">
        <v>856</v>
      </c>
      <c r="F4" t="s">
        <v>855</v>
      </c>
      <c r="G4" s="415" t="s">
        <v>890</v>
      </c>
    </row>
    <row r="5" spans="1:36" x14ac:dyDescent="0.2">
      <c r="A5" t="s">
        <v>357</v>
      </c>
      <c r="B5" t="s">
        <v>358</v>
      </c>
      <c r="C5" t="s">
        <v>925</v>
      </c>
      <c r="D5" t="s">
        <v>73</v>
      </c>
      <c r="E5" t="s">
        <v>856</v>
      </c>
      <c r="F5" t="s">
        <v>855</v>
      </c>
      <c r="G5" s="415" t="s">
        <v>914</v>
      </c>
    </row>
    <row r="6" spans="1:36" x14ac:dyDescent="0.2">
      <c r="A6" t="s">
        <v>359</v>
      </c>
      <c r="B6" t="s">
        <v>405</v>
      </c>
      <c r="C6" t="s">
        <v>922</v>
      </c>
      <c r="E6" t="s">
        <v>856</v>
      </c>
      <c r="F6" t="s">
        <v>855</v>
      </c>
      <c r="G6" s="415" t="s">
        <v>1031</v>
      </c>
    </row>
    <row r="7" spans="1:36" x14ac:dyDescent="0.2">
      <c r="A7" t="s">
        <v>359</v>
      </c>
      <c r="B7" t="s">
        <v>405</v>
      </c>
      <c r="C7" t="s">
        <v>1032</v>
      </c>
      <c r="E7" t="s">
        <v>856</v>
      </c>
      <c r="F7" t="s">
        <v>855</v>
      </c>
      <c r="G7" s="415" t="s">
        <v>876</v>
      </c>
    </row>
    <row r="8" spans="1:36" x14ac:dyDescent="0.2">
      <c r="A8" t="s">
        <v>366</v>
      </c>
      <c r="B8" t="s">
        <v>367</v>
      </c>
      <c r="C8" t="s">
        <v>937</v>
      </c>
      <c r="E8" t="s">
        <v>856</v>
      </c>
      <c r="F8" t="s">
        <v>855</v>
      </c>
      <c r="G8" s="415" t="s">
        <v>932</v>
      </c>
    </row>
    <row r="9" spans="1:36" x14ac:dyDescent="0.2">
      <c r="A9" t="s">
        <v>381</v>
      </c>
      <c r="B9" t="s">
        <v>382</v>
      </c>
      <c r="C9" t="s">
        <v>938</v>
      </c>
      <c r="E9" t="s">
        <v>856</v>
      </c>
      <c r="F9" t="s">
        <v>855</v>
      </c>
      <c r="G9" s="415" t="s">
        <v>935</v>
      </c>
    </row>
    <row r="10" spans="1:36" x14ac:dyDescent="0.2">
      <c r="A10" t="s">
        <v>1033</v>
      </c>
      <c r="B10" t="s">
        <v>1034</v>
      </c>
      <c r="C10" t="s">
        <v>1035</v>
      </c>
      <c r="E10" t="s">
        <v>856</v>
      </c>
      <c r="F10" t="s">
        <v>855</v>
      </c>
      <c r="G10" s="415" t="s">
        <v>966</v>
      </c>
    </row>
    <row r="11" spans="1:36" x14ac:dyDescent="0.2">
      <c r="A11" t="s">
        <v>388</v>
      </c>
      <c r="B11" t="s">
        <v>389</v>
      </c>
      <c r="C11" t="s">
        <v>903</v>
      </c>
      <c r="D11" t="s">
        <v>73</v>
      </c>
      <c r="E11" t="s">
        <v>856</v>
      </c>
      <c r="F11" t="s">
        <v>855</v>
      </c>
      <c r="G11" s="415" t="s">
        <v>890</v>
      </c>
    </row>
    <row r="12" spans="1:36" x14ac:dyDescent="0.2">
      <c r="A12" t="s">
        <v>1036</v>
      </c>
      <c r="B12" t="s">
        <v>524</v>
      </c>
      <c r="C12" t="s">
        <v>1037</v>
      </c>
      <c r="E12" t="s">
        <v>856</v>
      </c>
      <c r="F12" t="s">
        <v>855</v>
      </c>
      <c r="G12" s="415" t="s">
        <v>983</v>
      </c>
    </row>
    <row r="13" spans="1:36" x14ac:dyDescent="0.2">
      <c r="A13" t="s">
        <v>400</v>
      </c>
      <c r="B13" t="s">
        <v>401</v>
      </c>
      <c r="C13" t="s">
        <v>908</v>
      </c>
      <c r="E13" t="s">
        <v>856</v>
      </c>
      <c r="F13" t="s">
        <v>855</v>
      </c>
      <c r="G13" s="415" t="s">
        <v>891</v>
      </c>
    </row>
    <row r="14" spans="1:36" x14ac:dyDescent="0.2">
      <c r="A14" t="s">
        <v>402</v>
      </c>
      <c r="B14" t="s">
        <v>1038</v>
      </c>
      <c r="C14" t="s">
        <v>1039</v>
      </c>
      <c r="E14" t="s">
        <v>856</v>
      </c>
      <c r="F14" t="s">
        <v>855</v>
      </c>
      <c r="G14" s="415" t="s">
        <v>932</v>
      </c>
    </row>
    <row r="15" spans="1:36" x14ac:dyDescent="0.2">
      <c r="A15" t="s">
        <v>408</v>
      </c>
      <c r="B15" t="s">
        <v>409</v>
      </c>
      <c r="C15" t="s">
        <v>963</v>
      </c>
      <c r="E15" t="s">
        <v>856</v>
      </c>
      <c r="F15" t="s">
        <v>855</v>
      </c>
      <c r="G15" s="415" t="s">
        <v>954</v>
      </c>
    </row>
    <row r="16" spans="1:36" x14ac:dyDescent="0.2">
      <c r="A16" t="s">
        <v>869</v>
      </c>
      <c r="B16" t="s">
        <v>868</v>
      </c>
      <c r="C16" t="s">
        <v>867</v>
      </c>
      <c r="E16" t="s">
        <v>856</v>
      </c>
      <c r="F16" t="s">
        <v>855</v>
      </c>
      <c r="G16" s="415" t="s">
        <v>863</v>
      </c>
    </row>
    <row r="17" spans="1:7" x14ac:dyDescent="0.2">
      <c r="A17" t="s">
        <v>415</v>
      </c>
      <c r="B17" t="s">
        <v>416</v>
      </c>
      <c r="C17" t="s">
        <v>907</v>
      </c>
      <c r="E17" t="s">
        <v>856</v>
      </c>
      <c r="F17" t="s">
        <v>855</v>
      </c>
      <c r="G17" s="415" t="s">
        <v>891</v>
      </c>
    </row>
    <row r="18" spans="1:7" x14ac:dyDescent="0.2">
      <c r="A18" t="s">
        <v>1040</v>
      </c>
      <c r="B18" t="s">
        <v>1041</v>
      </c>
      <c r="C18" t="s">
        <v>1042</v>
      </c>
      <c r="E18" t="s">
        <v>856</v>
      </c>
      <c r="F18" t="s">
        <v>855</v>
      </c>
      <c r="G18" s="415" t="s">
        <v>1043</v>
      </c>
    </row>
    <row r="19" spans="1:7" x14ac:dyDescent="0.2">
      <c r="A19" t="s">
        <v>1044</v>
      </c>
      <c r="B19" t="s">
        <v>1045</v>
      </c>
      <c r="C19" t="s">
        <v>1046</v>
      </c>
      <c r="E19" t="s">
        <v>856</v>
      </c>
      <c r="F19" t="s">
        <v>855</v>
      </c>
      <c r="G19" s="415" t="s">
        <v>987</v>
      </c>
    </row>
    <row r="20" spans="1:7" x14ac:dyDescent="0.2">
      <c r="A20" t="s">
        <v>1047</v>
      </c>
      <c r="B20" t="s">
        <v>524</v>
      </c>
      <c r="C20" t="s">
        <v>1048</v>
      </c>
      <c r="E20" t="s">
        <v>856</v>
      </c>
      <c r="F20" t="s">
        <v>855</v>
      </c>
      <c r="G20" s="415" t="s">
        <v>860</v>
      </c>
    </row>
    <row r="21" spans="1:7" x14ac:dyDescent="0.2">
      <c r="A21" t="s">
        <v>896</v>
      </c>
      <c r="B21" t="s">
        <v>895</v>
      </c>
      <c r="C21" t="s">
        <v>894</v>
      </c>
      <c r="E21" t="s">
        <v>856</v>
      </c>
      <c r="F21" t="s">
        <v>855</v>
      </c>
      <c r="G21" s="415" t="s">
        <v>893</v>
      </c>
    </row>
    <row r="22" spans="1:7" x14ac:dyDescent="0.2">
      <c r="A22" t="s">
        <v>442</v>
      </c>
      <c r="B22" t="s">
        <v>369</v>
      </c>
      <c r="C22" t="s">
        <v>929</v>
      </c>
      <c r="E22" t="s">
        <v>856</v>
      </c>
      <c r="F22" t="s">
        <v>855</v>
      </c>
      <c r="G22" s="415" t="s">
        <v>923</v>
      </c>
    </row>
    <row r="23" spans="1:7" x14ac:dyDescent="0.2">
      <c r="A23" t="s">
        <v>446</v>
      </c>
      <c r="B23" t="s">
        <v>447</v>
      </c>
      <c r="C23" t="s">
        <v>1049</v>
      </c>
      <c r="E23" t="s">
        <v>856</v>
      </c>
      <c r="F23" t="s">
        <v>855</v>
      </c>
      <c r="G23" s="415" t="s">
        <v>876</v>
      </c>
    </row>
    <row r="24" spans="1:7" x14ac:dyDescent="0.2">
      <c r="A24" t="s">
        <v>446</v>
      </c>
      <c r="B24" t="s">
        <v>353</v>
      </c>
      <c r="C24" t="s">
        <v>883</v>
      </c>
      <c r="E24" t="s">
        <v>856</v>
      </c>
      <c r="F24" t="s">
        <v>855</v>
      </c>
      <c r="G24" s="415" t="s">
        <v>882</v>
      </c>
    </row>
    <row r="25" spans="1:7" x14ac:dyDescent="0.2">
      <c r="A25" t="s">
        <v>450</v>
      </c>
      <c r="B25" t="s">
        <v>451</v>
      </c>
      <c r="C25" t="s">
        <v>934</v>
      </c>
      <c r="E25" t="s">
        <v>856</v>
      </c>
      <c r="F25" t="s">
        <v>855</v>
      </c>
      <c r="G25" s="415" t="s">
        <v>932</v>
      </c>
    </row>
    <row r="26" spans="1:7" x14ac:dyDescent="0.2">
      <c r="A26" t="s">
        <v>452</v>
      </c>
      <c r="B26" t="s">
        <v>453</v>
      </c>
      <c r="C26" t="s">
        <v>975</v>
      </c>
      <c r="E26" t="s">
        <v>856</v>
      </c>
      <c r="F26" t="s">
        <v>855</v>
      </c>
      <c r="G26" s="415" t="s">
        <v>966</v>
      </c>
    </row>
    <row r="27" spans="1:7" x14ac:dyDescent="0.2">
      <c r="A27" t="s">
        <v>454</v>
      </c>
      <c r="B27" t="s">
        <v>455</v>
      </c>
      <c r="C27" t="s">
        <v>1050</v>
      </c>
      <c r="E27" t="s">
        <v>856</v>
      </c>
      <c r="F27" t="s">
        <v>855</v>
      </c>
      <c r="G27" s="415" t="s">
        <v>955</v>
      </c>
    </row>
    <row r="28" spans="1:7" x14ac:dyDescent="0.2">
      <c r="A28" t="s">
        <v>1051</v>
      </c>
      <c r="B28" t="s">
        <v>601</v>
      </c>
      <c r="C28" t="s">
        <v>1052</v>
      </c>
      <c r="D28" t="s">
        <v>73</v>
      </c>
      <c r="E28" t="s">
        <v>856</v>
      </c>
      <c r="F28" t="s">
        <v>855</v>
      </c>
      <c r="G28" s="415" t="s">
        <v>884</v>
      </c>
    </row>
    <row r="29" spans="1:7" x14ac:dyDescent="0.2">
      <c r="A29" t="s">
        <v>462</v>
      </c>
      <c r="B29" t="s">
        <v>463</v>
      </c>
      <c r="C29" t="s">
        <v>910</v>
      </c>
      <c r="E29" t="s">
        <v>856</v>
      </c>
      <c r="F29" t="s">
        <v>855</v>
      </c>
      <c r="G29" s="415" t="s">
        <v>890</v>
      </c>
    </row>
    <row r="30" spans="1:7" x14ac:dyDescent="0.2">
      <c r="A30" t="s">
        <v>473</v>
      </c>
      <c r="B30" t="s">
        <v>411</v>
      </c>
      <c r="C30" t="s">
        <v>913</v>
      </c>
      <c r="E30" t="s">
        <v>856</v>
      </c>
      <c r="F30" t="s">
        <v>855</v>
      </c>
      <c r="G30" s="415" t="s">
        <v>912</v>
      </c>
    </row>
    <row r="31" spans="1:7" x14ac:dyDescent="0.2">
      <c r="A31" t="s">
        <v>1053</v>
      </c>
      <c r="B31" t="s">
        <v>1054</v>
      </c>
      <c r="C31" t="s">
        <v>1055</v>
      </c>
      <c r="E31" t="s">
        <v>856</v>
      </c>
      <c r="F31" t="s">
        <v>855</v>
      </c>
      <c r="G31" s="415" t="s">
        <v>983</v>
      </c>
    </row>
    <row r="32" spans="1:7" x14ac:dyDescent="0.2">
      <c r="A32" t="s">
        <v>474</v>
      </c>
      <c r="B32" t="s">
        <v>475</v>
      </c>
      <c r="C32" t="s">
        <v>961</v>
      </c>
      <c r="E32" t="s">
        <v>856</v>
      </c>
      <c r="F32" t="s">
        <v>855</v>
      </c>
      <c r="G32" s="415" t="s">
        <v>954</v>
      </c>
    </row>
    <row r="33" spans="1:7" x14ac:dyDescent="0.2">
      <c r="A33" t="s">
        <v>474</v>
      </c>
      <c r="B33" t="s">
        <v>476</v>
      </c>
      <c r="C33" t="s">
        <v>1056</v>
      </c>
      <c r="E33" t="s">
        <v>856</v>
      </c>
      <c r="F33" t="s">
        <v>855</v>
      </c>
      <c r="G33" s="415" t="s">
        <v>863</v>
      </c>
    </row>
    <row r="34" spans="1:7" x14ac:dyDescent="0.2">
      <c r="A34" t="s">
        <v>484</v>
      </c>
      <c r="B34" t="s">
        <v>485</v>
      </c>
      <c r="C34" t="s">
        <v>928</v>
      </c>
      <c r="E34" t="s">
        <v>856</v>
      </c>
      <c r="F34" t="s">
        <v>855</v>
      </c>
      <c r="G34" s="415" t="s">
        <v>923</v>
      </c>
    </row>
    <row r="35" spans="1:7" x14ac:dyDescent="0.2">
      <c r="A35" t="s">
        <v>488</v>
      </c>
      <c r="B35" t="s">
        <v>489</v>
      </c>
      <c r="C35" t="s">
        <v>950</v>
      </c>
      <c r="D35" t="s">
        <v>73</v>
      </c>
      <c r="E35" t="s">
        <v>856</v>
      </c>
      <c r="F35" t="s">
        <v>855</v>
      </c>
      <c r="G35" s="415" t="s">
        <v>941</v>
      </c>
    </row>
    <row r="36" spans="1:7" x14ac:dyDescent="0.2">
      <c r="A36" t="s">
        <v>501</v>
      </c>
      <c r="B36" t="s">
        <v>502</v>
      </c>
      <c r="C36" t="s">
        <v>906</v>
      </c>
      <c r="E36" t="s">
        <v>856</v>
      </c>
      <c r="F36" t="s">
        <v>855</v>
      </c>
      <c r="G36" s="415" t="s">
        <v>891</v>
      </c>
    </row>
    <row r="37" spans="1:7" x14ac:dyDescent="0.2">
      <c r="A37" t="s">
        <v>503</v>
      </c>
      <c r="B37" t="s">
        <v>504</v>
      </c>
      <c r="C37" t="s">
        <v>947</v>
      </c>
      <c r="D37" t="s">
        <v>73</v>
      </c>
      <c r="E37" t="s">
        <v>856</v>
      </c>
      <c r="F37" t="s">
        <v>855</v>
      </c>
      <c r="G37" s="415" t="s">
        <v>941</v>
      </c>
    </row>
    <row r="38" spans="1:7" x14ac:dyDescent="0.2">
      <c r="A38" t="s">
        <v>505</v>
      </c>
      <c r="B38" t="s">
        <v>506</v>
      </c>
      <c r="C38" t="s">
        <v>909</v>
      </c>
      <c r="D38" t="s">
        <v>73</v>
      </c>
      <c r="E38" t="s">
        <v>856</v>
      </c>
      <c r="F38" t="s">
        <v>855</v>
      </c>
      <c r="G38" s="415" t="s">
        <v>890</v>
      </c>
    </row>
    <row r="39" spans="1:7" x14ac:dyDescent="0.2">
      <c r="A39" t="s">
        <v>511</v>
      </c>
      <c r="B39" t="s">
        <v>512</v>
      </c>
      <c r="C39" t="s">
        <v>1057</v>
      </c>
      <c r="E39" t="s">
        <v>856</v>
      </c>
      <c r="F39" t="s">
        <v>855</v>
      </c>
      <c r="G39" s="415" t="s">
        <v>923</v>
      </c>
    </row>
    <row r="40" spans="1:7" x14ac:dyDescent="0.2">
      <c r="A40" t="s">
        <v>523</v>
      </c>
      <c r="B40" t="s">
        <v>524</v>
      </c>
      <c r="C40" t="s">
        <v>936</v>
      </c>
      <c r="E40" t="s">
        <v>856</v>
      </c>
      <c r="F40" t="s">
        <v>855</v>
      </c>
      <c r="G40" s="415" t="s">
        <v>935</v>
      </c>
    </row>
    <row r="41" spans="1:7" x14ac:dyDescent="0.2">
      <c r="A41" t="s">
        <v>529</v>
      </c>
      <c r="B41" t="s">
        <v>485</v>
      </c>
      <c r="C41" t="s">
        <v>901</v>
      </c>
      <c r="E41" t="s">
        <v>856</v>
      </c>
      <c r="F41" t="s">
        <v>855</v>
      </c>
      <c r="G41" s="415" t="s">
        <v>891</v>
      </c>
    </row>
    <row r="42" spans="1:7" x14ac:dyDescent="0.2">
      <c r="A42" t="s">
        <v>1058</v>
      </c>
      <c r="B42" t="s">
        <v>1059</v>
      </c>
      <c r="C42" t="s">
        <v>1060</v>
      </c>
      <c r="D42" t="s">
        <v>73</v>
      </c>
      <c r="E42" t="s">
        <v>856</v>
      </c>
      <c r="F42" t="s">
        <v>855</v>
      </c>
      <c r="G42" s="415" t="s">
        <v>882</v>
      </c>
    </row>
    <row r="43" spans="1:7" x14ac:dyDescent="0.2">
      <c r="A43" t="s">
        <v>1061</v>
      </c>
      <c r="B43" t="s">
        <v>1062</v>
      </c>
      <c r="C43" t="s">
        <v>1063</v>
      </c>
      <c r="D43" t="s">
        <v>73</v>
      </c>
      <c r="E43" t="s">
        <v>856</v>
      </c>
      <c r="F43" t="s">
        <v>855</v>
      </c>
      <c r="G43" s="415" t="s">
        <v>863</v>
      </c>
    </row>
    <row r="44" spans="1:7" x14ac:dyDescent="0.2">
      <c r="A44" t="s">
        <v>539</v>
      </c>
      <c r="B44" t="s">
        <v>540</v>
      </c>
      <c r="C44" t="s">
        <v>905</v>
      </c>
      <c r="D44" t="s">
        <v>73</v>
      </c>
      <c r="E44" t="s">
        <v>856</v>
      </c>
      <c r="F44" t="s">
        <v>855</v>
      </c>
      <c r="G44" s="415" t="s">
        <v>891</v>
      </c>
    </row>
    <row r="45" spans="1:7" x14ac:dyDescent="0.2">
      <c r="A45" t="s">
        <v>542</v>
      </c>
      <c r="B45" t="s">
        <v>543</v>
      </c>
      <c r="C45" t="s">
        <v>982</v>
      </c>
      <c r="E45" t="s">
        <v>856</v>
      </c>
      <c r="F45" t="s">
        <v>855</v>
      </c>
      <c r="G45" s="415" t="s">
        <v>884</v>
      </c>
    </row>
    <row r="46" spans="1:7" x14ac:dyDescent="0.2">
      <c r="A46" t="s">
        <v>1064</v>
      </c>
      <c r="B46" t="s">
        <v>362</v>
      </c>
      <c r="C46" t="s">
        <v>1065</v>
      </c>
      <c r="E46" t="s">
        <v>856</v>
      </c>
      <c r="F46" t="s">
        <v>855</v>
      </c>
      <c r="G46" s="415" t="s">
        <v>954</v>
      </c>
    </row>
    <row r="47" spans="1:7" x14ac:dyDescent="0.2">
      <c r="A47" t="s">
        <v>875</v>
      </c>
      <c r="B47" t="s">
        <v>874</v>
      </c>
      <c r="C47" t="s">
        <v>873</v>
      </c>
      <c r="E47" t="s">
        <v>856</v>
      </c>
      <c r="F47" t="s">
        <v>855</v>
      </c>
      <c r="G47" s="415" t="s">
        <v>882</v>
      </c>
    </row>
    <row r="48" spans="1:7" x14ac:dyDescent="0.2">
      <c r="A48" t="s">
        <v>548</v>
      </c>
      <c r="B48" t="s">
        <v>367</v>
      </c>
      <c r="C48" t="s">
        <v>1066</v>
      </c>
      <c r="E48" t="s">
        <v>856</v>
      </c>
      <c r="F48" t="s">
        <v>855</v>
      </c>
      <c r="G48" s="415" t="s">
        <v>966</v>
      </c>
    </row>
    <row r="49" spans="1:7" x14ac:dyDescent="0.2">
      <c r="A49" t="s">
        <v>1067</v>
      </c>
      <c r="B49" t="s">
        <v>403</v>
      </c>
      <c r="C49" t="s">
        <v>1068</v>
      </c>
      <c r="E49" t="s">
        <v>856</v>
      </c>
      <c r="F49" t="s">
        <v>855</v>
      </c>
      <c r="G49" s="415" t="s">
        <v>1043</v>
      </c>
    </row>
    <row r="50" spans="1:7" x14ac:dyDescent="0.2">
      <c r="A50" t="s">
        <v>551</v>
      </c>
      <c r="B50" t="s">
        <v>552</v>
      </c>
      <c r="C50" t="s">
        <v>904</v>
      </c>
      <c r="E50" t="s">
        <v>856</v>
      </c>
      <c r="F50" t="s">
        <v>855</v>
      </c>
      <c r="G50" s="415" t="s">
        <v>891</v>
      </c>
    </row>
    <row r="51" spans="1:7" x14ac:dyDescent="0.2">
      <c r="A51" t="s">
        <v>555</v>
      </c>
      <c r="B51" t="s">
        <v>556</v>
      </c>
      <c r="C51" t="s">
        <v>988</v>
      </c>
      <c r="D51" t="s">
        <v>73</v>
      </c>
      <c r="E51" t="s">
        <v>856</v>
      </c>
      <c r="F51" t="s">
        <v>855</v>
      </c>
      <c r="G51" s="415" t="s">
        <v>860</v>
      </c>
    </row>
    <row r="52" spans="1:7" x14ac:dyDescent="0.2">
      <c r="A52" t="s">
        <v>555</v>
      </c>
      <c r="B52" t="s">
        <v>557</v>
      </c>
      <c r="C52" t="s">
        <v>1069</v>
      </c>
      <c r="E52" t="s">
        <v>856</v>
      </c>
      <c r="F52" t="s">
        <v>855</v>
      </c>
      <c r="G52" s="415" t="s">
        <v>930</v>
      </c>
    </row>
    <row r="53" spans="1:7" x14ac:dyDescent="0.2">
      <c r="A53" t="s">
        <v>859</v>
      </c>
      <c r="B53" t="s">
        <v>858</v>
      </c>
      <c r="C53" t="s">
        <v>857</v>
      </c>
      <c r="E53" t="s">
        <v>856</v>
      </c>
      <c r="F53" t="s">
        <v>855</v>
      </c>
      <c r="G53" s="415" t="s">
        <v>884</v>
      </c>
    </row>
    <row r="54" spans="1:7" x14ac:dyDescent="0.2">
      <c r="A54" t="s">
        <v>568</v>
      </c>
      <c r="B54" t="s">
        <v>393</v>
      </c>
      <c r="C54" t="s">
        <v>1070</v>
      </c>
      <c r="E54" t="s">
        <v>856</v>
      </c>
      <c r="F54" t="s">
        <v>855</v>
      </c>
      <c r="G54" s="415" t="s">
        <v>860</v>
      </c>
    </row>
    <row r="55" spans="1:7" x14ac:dyDescent="0.2">
      <c r="A55" t="s">
        <v>581</v>
      </c>
      <c r="B55" t="s">
        <v>582</v>
      </c>
      <c r="C55" t="s">
        <v>981</v>
      </c>
      <c r="D55" t="s">
        <v>73</v>
      </c>
      <c r="E55" t="s">
        <v>856</v>
      </c>
      <c r="F55" t="s">
        <v>855</v>
      </c>
      <c r="G55" s="415" t="s">
        <v>876</v>
      </c>
    </row>
    <row r="56" spans="1:7" x14ac:dyDescent="0.2">
      <c r="A56" t="s">
        <v>583</v>
      </c>
      <c r="B56" t="s">
        <v>584</v>
      </c>
      <c r="C56" t="s">
        <v>902</v>
      </c>
      <c r="E56" t="s">
        <v>856</v>
      </c>
      <c r="F56" t="s">
        <v>855</v>
      </c>
      <c r="G56" s="415" t="s">
        <v>891</v>
      </c>
    </row>
    <row r="57" spans="1:7" x14ac:dyDescent="0.2">
      <c r="A57" t="s">
        <v>993</v>
      </c>
      <c r="B57" t="s">
        <v>353</v>
      </c>
      <c r="C57" t="s">
        <v>992</v>
      </c>
      <c r="E57" t="s">
        <v>856</v>
      </c>
      <c r="F57" t="s">
        <v>855</v>
      </c>
      <c r="G57" s="415" t="s">
        <v>897</v>
      </c>
    </row>
    <row r="58" spans="1:7" x14ac:dyDescent="0.2">
      <c r="A58" t="s">
        <v>589</v>
      </c>
      <c r="B58" t="s">
        <v>590</v>
      </c>
      <c r="C58" t="s">
        <v>979</v>
      </c>
      <c r="D58" t="s">
        <v>73</v>
      </c>
      <c r="E58" t="s">
        <v>856</v>
      </c>
      <c r="F58" t="s">
        <v>855</v>
      </c>
      <c r="G58" s="415" t="s">
        <v>978</v>
      </c>
    </row>
    <row r="59" spans="1:7" x14ac:dyDescent="0.2">
      <c r="A59" t="s">
        <v>597</v>
      </c>
      <c r="B59" t="s">
        <v>598</v>
      </c>
      <c r="C59" t="s">
        <v>973</v>
      </c>
      <c r="D59" t="s">
        <v>73</v>
      </c>
      <c r="E59" t="s">
        <v>856</v>
      </c>
      <c r="F59" t="s">
        <v>855</v>
      </c>
      <c r="G59" s="415" t="s">
        <v>966</v>
      </c>
    </row>
    <row r="60" spans="1:7" x14ac:dyDescent="0.2">
      <c r="A60" t="s">
        <v>603</v>
      </c>
      <c r="B60" t="s">
        <v>604</v>
      </c>
      <c r="C60" t="s">
        <v>965</v>
      </c>
      <c r="E60" t="s">
        <v>856</v>
      </c>
      <c r="F60" t="s">
        <v>855</v>
      </c>
      <c r="G60" s="415" t="s">
        <v>955</v>
      </c>
    </row>
    <row r="61" spans="1:7" x14ac:dyDescent="0.2">
      <c r="A61" t="s">
        <v>607</v>
      </c>
      <c r="B61" t="s">
        <v>367</v>
      </c>
      <c r="C61" t="s">
        <v>972</v>
      </c>
      <c r="E61" t="s">
        <v>856</v>
      </c>
      <c r="F61" t="s">
        <v>855</v>
      </c>
      <c r="G61" s="415" t="s">
        <v>968</v>
      </c>
    </row>
    <row r="62" spans="1:7" x14ac:dyDescent="0.2">
      <c r="A62" t="s">
        <v>1071</v>
      </c>
      <c r="B62" t="s">
        <v>1072</v>
      </c>
      <c r="C62" t="s">
        <v>1073</v>
      </c>
      <c r="D62" t="s">
        <v>73</v>
      </c>
      <c r="E62" t="s">
        <v>856</v>
      </c>
      <c r="F62" t="s">
        <v>855</v>
      </c>
      <c r="G62" s="415" t="s">
        <v>878</v>
      </c>
    </row>
    <row r="63" spans="1:7" x14ac:dyDescent="0.2">
      <c r="A63" t="s">
        <v>1074</v>
      </c>
      <c r="B63" t="s">
        <v>382</v>
      </c>
      <c r="C63" t="s">
        <v>1075</v>
      </c>
      <c r="D63" t="s">
        <v>73</v>
      </c>
      <c r="E63" t="s">
        <v>856</v>
      </c>
      <c r="F63" t="s">
        <v>855</v>
      </c>
      <c r="G63" s="415" t="s">
        <v>876</v>
      </c>
    </row>
    <row r="64" spans="1:7" x14ac:dyDescent="0.2">
      <c r="A64" t="s">
        <v>1076</v>
      </c>
      <c r="B64" t="s">
        <v>1077</v>
      </c>
      <c r="C64" t="s">
        <v>1078</v>
      </c>
      <c r="E64" t="s">
        <v>856</v>
      </c>
      <c r="F64" t="s">
        <v>855</v>
      </c>
      <c r="G64" s="415" t="s">
        <v>930</v>
      </c>
    </row>
    <row r="65" spans="1:7" x14ac:dyDescent="0.2">
      <c r="A65" t="s">
        <v>881</v>
      </c>
      <c r="B65" t="s">
        <v>880</v>
      </c>
      <c r="C65" t="s">
        <v>879</v>
      </c>
      <c r="D65" t="s">
        <v>73</v>
      </c>
      <c r="E65" t="s">
        <v>856</v>
      </c>
      <c r="F65" t="s">
        <v>855</v>
      </c>
      <c r="G65" s="415" t="s">
        <v>1079</v>
      </c>
    </row>
    <row r="66" spans="1:7" x14ac:dyDescent="0.2">
      <c r="A66" t="s">
        <v>613</v>
      </c>
      <c r="B66" t="s">
        <v>614</v>
      </c>
      <c r="C66" t="s">
        <v>877</v>
      </c>
      <c r="D66" t="s">
        <v>73</v>
      </c>
      <c r="E66" t="s">
        <v>856</v>
      </c>
      <c r="F66" t="s">
        <v>855</v>
      </c>
      <c r="G66" s="415" t="s">
        <v>946</v>
      </c>
    </row>
    <row r="67" spans="1:7" x14ac:dyDescent="0.2">
      <c r="A67" t="s">
        <v>629</v>
      </c>
      <c r="B67" t="s">
        <v>630</v>
      </c>
      <c r="C67" t="s">
        <v>976</v>
      </c>
      <c r="E67" t="s">
        <v>856</v>
      </c>
      <c r="F67" t="s">
        <v>855</v>
      </c>
      <c r="G67" s="415" t="s">
        <v>974</v>
      </c>
    </row>
    <row r="68" spans="1:7" x14ac:dyDescent="0.2">
      <c r="A68" t="s">
        <v>631</v>
      </c>
      <c r="B68" t="s">
        <v>632</v>
      </c>
      <c r="C68" t="s">
        <v>999</v>
      </c>
      <c r="E68" t="s">
        <v>856</v>
      </c>
      <c r="F68" t="s">
        <v>855</v>
      </c>
      <c r="G68" s="415" t="s">
        <v>891</v>
      </c>
    </row>
    <row r="69" spans="1:7" x14ac:dyDescent="0.2">
      <c r="A69" t="s">
        <v>1080</v>
      </c>
      <c r="B69" t="s">
        <v>491</v>
      </c>
      <c r="C69" t="s">
        <v>1081</v>
      </c>
      <c r="E69" t="s">
        <v>856</v>
      </c>
      <c r="F69" t="s">
        <v>855</v>
      </c>
      <c r="G69" s="415" t="s">
        <v>860</v>
      </c>
    </row>
    <row r="70" spans="1:7" x14ac:dyDescent="0.2">
      <c r="A70" t="s">
        <v>637</v>
      </c>
      <c r="B70" t="s">
        <v>632</v>
      </c>
      <c r="C70" t="s">
        <v>918</v>
      </c>
      <c r="E70" t="s">
        <v>856</v>
      </c>
      <c r="F70" t="s">
        <v>855</v>
      </c>
      <c r="G70" s="415" t="s">
        <v>914</v>
      </c>
    </row>
    <row r="71" spans="1:7" x14ac:dyDescent="0.2">
      <c r="A71" t="s">
        <v>637</v>
      </c>
      <c r="B71" t="s">
        <v>491</v>
      </c>
      <c r="C71" t="s">
        <v>998</v>
      </c>
      <c r="D71" t="s">
        <v>73</v>
      </c>
      <c r="E71" t="s">
        <v>856</v>
      </c>
      <c r="F71" t="s">
        <v>855</v>
      </c>
      <c r="G71" s="415" t="s">
        <v>891</v>
      </c>
    </row>
    <row r="72" spans="1:7" x14ac:dyDescent="0.2">
      <c r="A72" t="s">
        <v>638</v>
      </c>
      <c r="B72" t="s">
        <v>862</v>
      </c>
      <c r="C72" t="s">
        <v>861</v>
      </c>
      <c r="E72" t="s">
        <v>856</v>
      </c>
      <c r="F72" t="s">
        <v>855</v>
      </c>
      <c r="G72" s="415" t="s">
        <v>860</v>
      </c>
    </row>
    <row r="73" spans="1:7" x14ac:dyDescent="0.2">
      <c r="A73" t="s">
        <v>639</v>
      </c>
      <c r="B73" t="s">
        <v>640</v>
      </c>
      <c r="C73" t="s">
        <v>892</v>
      </c>
      <c r="E73" t="s">
        <v>856</v>
      </c>
      <c r="F73" t="s">
        <v>855</v>
      </c>
      <c r="G73" s="415" t="s">
        <v>891</v>
      </c>
    </row>
    <row r="74" spans="1:7" x14ac:dyDescent="0.2">
      <c r="A74" t="s">
        <v>1062</v>
      </c>
      <c r="B74" t="s">
        <v>1082</v>
      </c>
      <c r="C74" t="s">
        <v>1083</v>
      </c>
      <c r="D74" s="416" t="s">
        <v>73</v>
      </c>
      <c r="E74" t="s">
        <v>856</v>
      </c>
      <c r="F74" t="s">
        <v>855</v>
      </c>
      <c r="G74" s="415">
        <v>9003</v>
      </c>
    </row>
    <row r="75" spans="1:7" x14ac:dyDescent="0.2">
      <c r="A75" t="s">
        <v>646</v>
      </c>
      <c r="B75" t="s">
        <v>648</v>
      </c>
      <c r="C75" t="s">
        <v>933</v>
      </c>
      <c r="E75" t="s">
        <v>856</v>
      </c>
      <c r="F75" t="s">
        <v>855</v>
      </c>
      <c r="G75" s="415" t="s">
        <v>932</v>
      </c>
    </row>
    <row r="76" spans="1:7" x14ac:dyDescent="0.2">
      <c r="A76" t="s">
        <v>653</v>
      </c>
      <c r="B76" t="s">
        <v>654</v>
      </c>
      <c r="C76" t="s">
        <v>964</v>
      </c>
      <c r="E76" t="s">
        <v>856</v>
      </c>
      <c r="F76" t="s">
        <v>855</v>
      </c>
      <c r="G76" s="415" t="s">
        <v>955</v>
      </c>
    </row>
    <row r="77" spans="1:7" x14ac:dyDescent="0.2">
      <c r="A77" t="s">
        <v>663</v>
      </c>
      <c r="B77" t="s">
        <v>485</v>
      </c>
      <c r="C77" t="s">
        <v>962</v>
      </c>
      <c r="E77" t="s">
        <v>856</v>
      </c>
      <c r="F77" t="s">
        <v>855</v>
      </c>
      <c r="G77" s="415" t="s">
        <v>955</v>
      </c>
    </row>
    <row r="78" spans="1:7" x14ac:dyDescent="0.2">
      <c r="A78" t="s">
        <v>669</v>
      </c>
      <c r="B78" t="s">
        <v>670</v>
      </c>
      <c r="C78" t="s">
        <v>971</v>
      </c>
      <c r="E78" t="s">
        <v>856</v>
      </c>
      <c r="F78" t="s">
        <v>855</v>
      </c>
      <c r="G78" s="415" t="s">
        <v>966</v>
      </c>
    </row>
    <row r="79" spans="1:7" x14ac:dyDescent="0.2">
      <c r="A79" t="s">
        <v>1084</v>
      </c>
      <c r="B79" t="s">
        <v>656</v>
      </c>
      <c r="C79" t="s">
        <v>1085</v>
      </c>
      <c r="E79" t="s">
        <v>856</v>
      </c>
      <c r="F79" t="s">
        <v>855</v>
      </c>
      <c r="G79" s="415" t="s">
        <v>966</v>
      </c>
    </row>
    <row r="80" spans="1:7" x14ac:dyDescent="0.2">
      <c r="A80" t="s">
        <v>678</v>
      </c>
      <c r="B80" t="s">
        <v>970</v>
      </c>
      <c r="C80" t="s">
        <v>969</v>
      </c>
      <c r="E80" t="s">
        <v>856</v>
      </c>
      <c r="F80" t="s">
        <v>855</v>
      </c>
      <c r="G80" s="415" t="s">
        <v>968</v>
      </c>
    </row>
    <row r="81" spans="1:7" x14ac:dyDescent="0.2">
      <c r="A81" t="s">
        <v>1086</v>
      </c>
      <c r="B81" t="s">
        <v>430</v>
      </c>
      <c r="C81" t="s">
        <v>1087</v>
      </c>
      <c r="D81" t="s">
        <v>73</v>
      </c>
      <c r="E81" t="s">
        <v>856</v>
      </c>
      <c r="F81" t="s">
        <v>855</v>
      </c>
      <c r="G81" s="415" t="s">
        <v>912</v>
      </c>
    </row>
    <row r="82" spans="1:7" x14ac:dyDescent="0.2">
      <c r="A82" t="s">
        <v>684</v>
      </c>
      <c r="B82" t="s">
        <v>679</v>
      </c>
      <c r="C82" t="s">
        <v>943</v>
      </c>
      <c r="E82" t="s">
        <v>856</v>
      </c>
      <c r="F82" t="s">
        <v>855</v>
      </c>
      <c r="G82" s="415" t="s">
        <v>941</v>
      </c>
    </row>
    <row r="83" spans="1:7" x14ac:dyDescent="0.2">
      <c r="A83" t="s">
        <v>684</v>
      </c>
      <c r="B83" t="s">
        <v>578</v>
      </c>
      <c r="C83" t="s">
        <v>927</v>
      </c>
      <c r="E83" t="s">
        <v>856</v>
      </c>
      <c r="F83" t="s">
        <v>855</v>
      </c>
      <c r="G83" s="415" t="s">
        <v>923</v>
      </c>
    </row>
    <row r="84" spans="1:7" x14ac:dyDescent="0.2">
      <c r="A84" t="s">
        <v>900</v>
      </c>
      <c r="B84" t="s">
        <v>899</v>
      </c>
      <c r="C84" t="s">
        <v>898</v>
      </c>
      <c r="E84" t="s">
        <v>856</v>
      </c>
      <c r="F84" t="s">
        <v>855</v>
      </c>
      <c r="G84" s="415" t="s">
        <v>897</v>
      </c>
    </row>
    <row r="85" spans="1:7" x14ac:dyDescent="0.2">
      <c r="A85" t="s">
        <v>688</v>
      </c>
      <c r="B85" t="s">
        <v>689</v>
      </c>
      <c r="C85" t="s">
        <v>931</v>
      </c>
      <c r="E85" t="s">
        <v>856</v>
      </c>
      <c r="F85" t="s">
        <v>855</v>
      </c>
      <c r="G85" s="415" t="s">
        <v>930</v>
      </c>
    </row>
    <row r="86" spans="1:7" x14ac:dyDescent="0.2">
      <c r="A86" t="s">
        <v>690</v>
      </c>
      <c r="B86" t="s">
        <v>691</v>
      </c>
      <c r="C86" t="s">
        <v>997</v>
      </c>
      <c r="E86" t="s">
        <v>856</v>
      </c>
      <c r="F86" t="s">
        <v>855</v>
      </c>
      <c r="G86" s="415" t="s">
        <v>891</v>
      </c>
    </row>
    <row r="87" spans="1:7" x14ac:dyDescent="0.2">
      <c r="A87" t="s">
        <v>1088</v>
      </c>
      <c r="B87" t="s">
        <v>1089</v>
      </c>
      <c r="C87" t="s">
        <v>1090</v>
      </c>
      <c r="E87" t="s">
        <v>856</v>
      </c>
      <c r="F87" t="s">
        <v>855</v>
      </c>
      <c r="G87" s="415" t="s">
        <v>891</v>
      </c>
    </row>
    <row r="88" spans="1:7" x14ac:dyDescent="0.2">
      <c r="A88" t="s">
        <v>1091</v>
      </c>
      <c r="B88" t="s">
        <v>1092</v>
      </c>
      <c r="C88" t="s">
        <v>1093</v>
      </c>
      <c r="E88" t="s">
        <v>856</v>
      </c>
      <c r="F88" t="s">
        <v>855</v>
      </c>
      <c r="G88" s="415" t="s">
        <v>891</v>
      </c>
    </row>
    <row r="89" spans="1:7" x14ac:dyDescent="0.2">
      <c r="A89" t="s">
        <v>1094</v>
      </c>
      <c r="B89" t="s">
        <v>1095</v>
      </c>
      <c r="C89" t="s">
        <v>1096</v>
      </c>
      <c r="E89" t="s">
        <v>856</v>
      </c>
      <c r="F89" t="s">
        <v>855</v>
      </c>
      <c r="G89" s="415" t="s">
        <v>966</v>
      </c>
    </row>
    <row r="90" spans="1:7" x14ac:dyDescent="0.2">
      <c r="A90" t="s">
        <v>693</v>
      </c>
      <c r="B90" t="s">
        <v>694</v>
      </c>
      <c r="C90" t="s">
        <v>949</v>
      </c>
      <c r="E90" t="s">
        <v>856</v>
      </c>
      <c r="F90" t="s">
        <v>855</v>
      </c>
      <c r="G90" s="415" t="s">
        <v>946</v>
      </c>
    </row>
    <row r="91" spans="1:7" x14ac:dyDescent="0.2">
      <c r="A91" t="s">
        <v>889</v>
      </c>
      <c r="B91" t="s">
        <v>888</v>
      </c>
      <c r="C91" t="s">
        <v>887</v>
      </c>
      <c r="D91" t="s">
        <v>73</v>
      </c>
      <c r="E91" t="s">
        <v>856</v>
      </c>
      <c r="F91" t="s">
        <v>855</v>
      </c>
      <c r="G91" s="415" t="s">
        <v>954</v>
      </c>
    </row>
    <row r="92" spans="1:7" x14ac:dyDescent="0.2">
      <c r="A92" t="s">
        <v>695</v>
      </c>
      <c r="B92" t="s">
        <v>696</v>
      </c>
      <c r="C92" t="s">
        <v>948</v>
      </c>
      <c r="E92" t="s">
        <v>856</v>
      </c>
      <c r="F92" t="s">
        <v>855</v>
      </c>
      <c r="G92" s="415" t="s">
        <v>946</v>
      </c>
    </row>
    <row r="93" spans="1:7" x14ac:dyDescent="0.2">
      <c r="A93" t="s">
        <v>701</v>
      </c>
      <c r="B93" t="s">
        <v>601</v>
      </c>
      <c r="C93" t="s">
        <v>945</v>
      </c>
      <c r="E93" t="s">
        <v>856</v>
      </c>
      <c r="F93" t="s">
        <v>855</v>
      </c>
      <c r="G93" s="415" t="s">
        <v>944</v>
      </c>
    </row>
    <row r="94" spans="1:7" x14ac:dyDescent="0.2">
      <c r="A94" t="s">
        <v>704</v>
      </c>
      <c r="B94" t="s">
        <v>705</v>
      </c>
      <c r="C94" t="s">
        <v>986</v>
      </c>
      <c r="D94" t="s">
        <v>73</v>
      </c>
      <c r="E94" t="s">
        <v>856</v>
      </c>
      <c r="F94" t="s">
        <v>855</v>
      </c>
      <c r="G94" s="415" t="s">
        <v>876</v>
      </c>
    </row>
    <row r="95" spans="1:7" x14ac:dyDescent="0.2">
      <c r="A95" t="s">
        <v>1097</v>
      </c>
      <c r="B95" t="s">
        <v>705</v>
      </c>
      <c r="C95" t="s">
        <v>1098</v>
      </c>
      <c r="E95" t="s">
        <v>856</v>
      </c>
      <c r="F95" t="s">
        <v>855</v>
      </c>
      <c r="G95" s="415" t="s">
        <v>876</v>
      </c>
    </row>
    <row r="96" spans="1:7" x14ac:dyDescent="0.2">
      <c r="A96" t="s">
        <v>1099</v>
      </c>
      <c r="B96" t="s">
        <v>557</v>
      </c>
      <c r="C96" t="s">
        <v>1100</v>
      </c>
      <c r="E96" t="s">
        <v>856</v>
      </c>
      <c r="F96" t="s">
        <v>855</v>
      </c>
      <c r="G96" s="415" t="s">
        <v>930</v>
      </c>
    </row>
    <row r="97" spans="1:7" x14ac:dyDescent="0.2">
      <c r="A97" t="s">
        <v>709</v>
      </c>
      <c r="B97" t="s">
        <v>375</v>
      </c>
      <c r="C97" t="s">
        <v>985</v>
      </c>
      <c r="E97" t="s">
        <v>856</v>
      </c>
      <c r="F97" t="s">
        <v>855</v>
      </c>
      <c r="G97" s="415" t="s">
        <v>876</v>
      </c>
    </row>
    <row r="98" spans="1:7" x14ac:dyDescent="0.2">
      <c r="A98" t="s">
        <v>714</v>
      </c>
      <c r="B98" t="s">
        <v>960</v>
      </c>
      <c r="C98" t="s">
        <v>959</v>
      </c>
      <c r="E98" t="s">
        <v>856</v>
      </c>
      <c r="F98" t="s">
        <v>855</v>
      </c>
      <c r="G98" s="415" t="s">
        <v>955</v>
      </c>
    </row>
    <row r="99" spans="1:7" x14ac:dyDescent="0.2">
      <c r="A99" t="s">
        <v>872</v>
      </c>
      <c r="B99" t="s">
        <v>871</v>
      </c>
      <c r="C99" t="s">
        <v>870</v>
      </c>
      <c r="E99" t="s">
        <v>856</v>
      </c>
      <c r="F99" t="s">
        <v>855</v>
      </c>
      <c r="G99" s="415" t="s">
        <v>863</v>
      </c>
    </row>
    <row r="100" spans="1:7" x14ac:dyDescent="0.2">
      <c r="A100" t="s">
        <v>1101</v>
      </c>
      <c r="B100" t="s">
        <v>645</v>
      </c>
      <c r="C100" t="s">
        <v>1102</v>
      </c>
      <c r="E100" t="s">
        <v>856</v>
      </c>
      <c r="F100" t="s">
        <v>855</v>
      </c>
      <c r="G100" s="415" t="s">
        <v>955</v>
      </c>
    </row>
    <row r="101" spans="1:7" x14ac:dyDescent="0.2">
      <c r="A101" t="s">
        <v>720</v>
      </c>
      <c r="B101" t="s">
        <v>491</v>
      </c>
      <c r="C101" t="s">
        <v>996</v>
      </c>
      <c r="E101" t="s">
        <v>856</v>
      </c>
      <c r="F101" t="s">
        <v>855</v>
      </c>
      <c r="G101" s="415" t="s">
        <v>891</v>
      </c>
    </row>
    <row r="102" spans="1:7" x14ac:dyDescent="0.2">
      <c r="A102" t="s">
        <v>1103</v>
      </c>
      <c r="B102" t="s">
        <v>1104</v>
      </c>
      <c r="C102" t="s">
        <v>1105</v>
      </c>
      <c r="E102" t="s">
        <v>856</v>
      </c>
      <c r="F102" t="s">
        <v>855</v>
      </c>
      <c r="G102" s="415" t="s">
        <v>978</v>
      </c>
    </row>
    <row r="103" spans="1:7" x14ac:dyDescent="0.2">
      <c r="A103" t="s">
        <v>1106</v>
      </c>
      <c r="B103" t="s">
        <v>1107</v>
      </c>
      <c r="C103" t="s">
        <v>1108</v>
      </c>
      <c r="E103" t="s">
        <v>856</v>
      </c>
      <c r="F103" t="s">
        <v>855</v>
      </c>
      <c r="G103" s="415" t="s">
        <v>955</v>
      </c>
    </row>
    <row r="104" spans="1:7" x14ac:dyDescent="0.2">
      <c r="A104" t="s">
        <v>726</v>
      </c>
      <c r="B104" t="s">
        <v>654</v>
      </c>
      <c r="C104" t="s">
        <v>958</v>
      </c>
      <c r="E104" t="s">
        <v>856</v>
      </c>
      <c r="F104" t="s">
        <v>855</v>
      </c>
      <c r="G104" s="415" t="s">
        <v>954</v>
      </c>
    </row>
    <row r="105" spans="1:7" x14ac:dyDescent="0.2">
      <c r="A105" t="s">
        <v>727</v>
      </c>
      <c r="B105" t="s">
        <v>728</v>
      </c>
      <c r="C105" t="s">
        <v>995</v>
      </c>
      <c r="E105" t="s">
        <v>856</v>
      </c>
      <c r="F105" t="s">
        <v>855</v>
      </c>
      <c r="G105" s="415" t="s">
        <v>891</v>
      </c>
    </row>
    <row r="106" spans="1:7" x14ac:dyDescent="0.2">
      <c r="A106" t="s">
        <v>727</v>
      </c>
      <c r="B106" t="s">
        <v>729</v>
      </c>
      <c r="C106" t="s">
        <v>957</v>
      </c>
      <c r="E106" t="s">
        <v>856</v>
      </c>
      <c r="F106" t="s">
        <v>855</v>
      </c>
      <c r="G106" s="415" t="s">
        <v>954</v>
      </c>
    </row>
    <row r="107" spans="1:7" x14ac:dyDescent="0.2">
      <c r="A107" t="s">
        <v>734</v>
      </c>
      <c r="B107" t="s">
        <v>604</v>
      </c>
      <c r="C107" t="s">
        <v>980</v>
      </c>
      <c r="D107" t="s">
        <v>73</v>
      </c>
      <c r="E107" t="s">
        <v>856</v>
      </c>
      <c r="F107" t="s">
        <v>855</v>
      </c>
      <c r="G107" s="415" t="s">
        <v>884</v>
      </c>
    </row>
    <row r="108" spans="1:7" x14ac:dyDescent="0.2">
      <c r="A108" t="s">
        <v>737</v>
      </c>
      <c r="B108" t="s">
        <v>738</v>
      </c>
      <c r="C108" t="s">
        <v>1000</v>
      </c>
      <c r="D108" t="s">
        <v>73</v>
      </c>
      <c r="E108" t="s">
        <v>856</v>
      </c>
      <c r="F108" t="s">
        <v>855</v>
      </c>
      <c r="G108" s="415" t="s">
        <v>884</v>
      </c>
    </row>
    <row r="109" spans="1:7" x14ac:dyDescent="0.2">
      <c r="A109" t="s">
        <v>739</v>
      </c>
      <c r="B109" t="s">
        <v>740</v>
      </c>
      <c r="C109" t="s">
        <v>977</v>
      </c>
      <c r="E109" t="s">
        <v>856</v>
      </c>
      <c r="F109" t="s">
        <v>855</v>
      </c>
      <c r="G109" s="415" t="s">
        <v>954</v>
      </c>
    </row>
    <row r="110" spans="1:7" x14ac:dyDescent="0.2">
      <c r="A110" t="s">
        <v>744</v>
      </c>
      <c r="B110" t="s">
        <v>745</v>
      </c>
      <c r="C110" t="s">
        <v>940</v>
      </c>
      <c r="E110" t="s">
        <v>856</v>
      </c>
      <c r="F110" t="s">
        <v>855</v>
      </c>
      <c r="G110" s="415" t="s">
        <v>882</v>
      </c>
    </row>
    <row r="111" spans="1:7" x14ac:dyDescent="0.2">
      <c r="A111" t="s">
        <v>1109</v>
      </c>
      <c r="B111" t="s">
        <v>1110</v>
      </c>
      <c r="C111" t="s">
        <v>1111</v>
      </c>
      <c r="E111" t="s">
        <v>856</v>
      </c>
      <c r="F111" t="s">
        <v>855</v>
      </c>
      <c r="G111" s="415" t="s">
        <v>954</v>
      </c>
    </row>
    <row r="112" spans="1:7" x14ac:dyDescent="0.2">
      <c r="A112" t="s">
        <v>754</v>
      </c>
      <c r="B112" t="s">
        <v>353</v>
      </c>
      <c r="C112" t="s">
        <v>917</v>
      </c>
      <c r="D112" t="s">
        <v>73</v>
      </c>
      <c r="E112" t="s">
        <v>856</v>
      </c>
      <c r="F112" t="s">
        <v>855</v>
      </c>
      <c r="G112" s="415" t="s">
        <v>914</v>
      </c>
    </row>
    <row r="113" spans="1:7" x14ac:dyDescent="0.2">
      <c r="A113" t="s">
        <v>1112</v>
      </c>
      <c r="B113" t="s">
        <v>1113</v>
      </c>
      <c r="C113" t="s">
        <v>1114</v>
      </c>
      <c r="E113" t="s">
        <v>856</v>
      </c>
      <c r="F113" t="s">
        <v>855</v>
      </c>
      <c r="G113" s="415" t="s">
        <v>876</v>
      </c>
    </row>
    <row r="114" spans="1:7" x14ac:dyDescent="0.2">
      <c r="A114" t="s">
        <v>756</v>
      </c>
      <c r="B114" t="s">
        <v>405</v>
      </c>
      <c r="C114" t="s">
        <v>942</v>
      </c>
      <c r="D114" t="s">
        <v>73</v>
      </c>
      <c r="E114" t="s">
        <v>856</v>
      </c>
      <c r="F114" t="s">
        <v>855</v>
      </c>
      <c r="G114" s="415" t="s">
        <v>941</v>
      </c>
    </row>
    <row r="115" spans="1:7" x14ac:dyDescent="0.2">
      <c r="A115" t="s">
        <v>758</v>
      </c>
      <c r="B115" t="s">
        <v>991</v>
      </c>
      <c r="C115" t="s">
        <v>990</v>
      </c>
      <c r="E115" t="s">
        <v>856</v>
      </c>
      <c r="F115" t="s">
        <v>855</v>
      </c>
      <c r="G115" s="415" t="s">
        <v>989</v>
      </c>
    </row>
    <row r="116" spans="1:7" x14ac:dyDescent="0.2">
      <c r="A116" t="s">
        <v>761</v>
      </c>
      <c r="B116" t="s">
        <v>686</v>
      </c>
      <c r="C116" t="s">
        <v>926</v>
      </c>
      <c r="E116" t="s">
        <v>856</v>
      </c>
      <c r="F116" t="s">
        <v>855</v>
      </c>
      <c r="G116" s="415" t="s">
        <v>923</v>
      </c>
    </row>
    <row r="117" spans="1:7" x14ac:dyDescent="0.2">
      <c r="A117" t="s">
        <v>1115</v>
      </c>
      <c r="B117" t="s">
        <v>967</v>
      </c>
      <c r="C117" t="s">
        <v>1116</v>
      </c>
      <c r="E117" t="s">
        <v>856</v>
      </c>
      <c r="F117" t="s">
        <v>855</v>
      </c>
      <c r="G117" s="415" t="s">
        <v>1043</v>
      </c>
    </row>
    <row r="118" spans="1:7" x14ac:dyDescent="0.2">
      <c r="A118" t="s">
        <v>1117</v>
      </c>
      <c r="B118" t="s">
        <v>1113</v>
      </c>
      <c r="C118" t="s">
        <v>1118</v>
      </c>
      <c r="E118" t="s">
        <v>856</v>
      </c>
      <c r="F118" t="s">
        <v>855</v>
      </c>
      <c r="G118" s="415" t="s">
        <v>863</v>
      </c>
    </row>
    <row r="119" spans="1:7" x14ac:dyDescent="0.2">
      <c r="A119" t="s">
        <v>1119</v>
      </c>
      <c r="B119" t="s">
        <v>685</v>
      </c>
      <c r="C119" t="s">
        <v>1120</v>
      </c>
      <c r="E119" t="s">
        <v>856</v>
      </c>
      <c r="F119" t="s">
        <v>855</v>
      </c>
      <c r="G119" s="415" t="s">
        <v>946</v>
      </c>
    </row>
    <row r="120" spans="1:7" x14ac:dyDescent="0.2">
      <c r="A120" t="s">
        <v>762</v>
      </c>
      <c r="B120" t="s">
        <v>763</v>
      </c>
      <c r="C120" t="s">
        <v>984</v>
      </c>
      <c r="E120" t="s">
        <v>856</v>
      </c>
      <c r="F120" t="s">
        <v>855</v>
      </c>
      <c r="G120" s="415" t="s">
        <v>876</v>
      </c>
    </row>
    <row r="121" spans="1:7" x14ac:dyDescent="0.2">
      <c r="A121" t="s">
        <v>766</v>
      </c>
      <c r="B121" t="s">
        <v>367</v>
      </c>
      <c r="C121" t="s">
        <v>956</v>
      </c>
      <c r="E121" t="s">
        <v>856</v>
      </c>
      <c r="F121" t="s">
        <v>855</v>
      </c>
      <c r="G121" s="415" t="s">
        <v>954</v>
      </c>
    </row>
    <row r="122" spans="1:7" x14ac:dyDescent="0.2">
      <c r="A122" t="s">
        <v>774</v>
      </c>
      <c r="B122" t="s">
        <v>1121</v>
      </c>
      <c r="C122" t="s">
        <v>1122</v>
      </c>
      <c r="E122" t="s">
        <v>856</v>
      </c>
      <c r="F122" t="s">
        <v>855</v>
      </c>
      <c r="G122" s="415" t="s">
        <v>1123</v>
      </c>
    </row>
    <row r="123" spans="1:7" x14ac:dyDescent="0.2">
      <c r="A123" t="s">
        <v>781</v>
      </c>
      <c r="B123" t="s">
        <v>886</v>
      </c>
      <c r="C123" t="s">
        <v>885</v>
      </c>
      <c r="E123" t="s">
        <v>856</v>
      </c>
      <c r="F123" t="s">
        <v>855</v>
      </c>
      <c r="G123" s="415" t="s">
        <v>884</v>
      </c>
    </row>
    <row r="124" spans="1:7" x14ac:dyDescent="0.2">
      <c r="A124" t="s">
        <v>1124</v>
      </c>
      <c r="B124" t="s">
        <v>763</v>
      </c>
      <c r="C124" t="s">
        <v>1125</v>
      </c>
      <c r="E124" t="s">
        <v>856</v>
      </c>
      <c r="F124" t="s">
        <v>855</v>
      </c>
      <c r="G124" s="415" t="s">
        <v>876</v>
      </c>
    </row>
    <row r="125" spans="1:7" x14ac:dyDescent="0.2">
      <c r="A125" t="s">
        <v>1126</v>
      </c>
      <c r="B125" t="s">
        <v>1127</v>
      </c>
      <c r="C125" t="s">
        <v>1128</v>
      </c>
      <c r="E125" t="s">
        <v>856</v>
      </c>
      <c r="F125" t="s">
        <v>855</v>
      </c>
      <c r="G125" s="415" t="s">
        <v>954</v>
      </c>
    </row>
    <row r="126" spans="1:7" x14ac:dyDescent="0.2">
      <c r="A126" t="s">
        <v>866</v>
      </c>
      <c r="B126" t="s">
        <v>865</v>
      </c>
      <c r="C126" t="s">
        <v>864</v>
      </c>
      <c r="E126" t="s">
        <v>856</v>
      </c>
      <c r="F126" t="s">
        <v>855</v>
      </c>
      <c r="G126" s="415" t="s">
        <v>863</v>
      </c>
    </row>
    <row r="127" spans="1:7" x14ac:dyDescent="0.2">
      <c r="A127" t="s">
        <v>1129</v>
      </c>
      <c r="B127" t="s">
        <v>399</v>
      </c>
      <c r="C127" t="s">
        <v>1130</v>
      </c>
      <c r="E127" t="s">
        <v>856</v>
      </c>
      <c r="F127" t="s">
        <v>855</v>
      </c>
      <c r="G127" s="415" t="s">
        <v>966</v>
      </c>
    </row>
    <row r="128" spans="1:7" x14ac:dyDescent="0.2">
      <c r="A128" t="s">
        <v>1131</v>
      </c>
      <c r="B128" t="s">
        <v>1132</v>
      </c>
      <c r="C128" t="s">
        <v>1133</v>
      </c>
      <c r="E128" t="s">
        <v>856</v>
      </c>
      <c r="F128" t="s">
        <v>855</v>
      </c>
      <c r="G128" s="415" t="s">
        <v>1079</v>
      </c>
    </row>
    <row r="129" spans="1:7" x14ac:dyDescent="0.2">
      <c r="A129" t="s">
        <v>799</v>
      </c>
      <c r="B129" t="s">
        <v>916</v>
      </c>
      <c r="C129" t="s">
        <v>915</v>
      </c>
      <c r="D129" t="s">
        <v>73</v>
      </c>
      <c r="E129" t="s">
        <v>856</v>
      </c>
      <c r="F129" t="s">
        <v>855</v>
      </c>
      <c r="G129" s="415" t="s">
        <v>914</v>
      </c>
    </row>
    <row r="130" spans="1:7" x14ac:dyDescent="0.2">
      <c r="A130" t="s">
        <v>801</v>
      </c>
      <c r="B130" t="s">
        <v>802</v>
      </c>
      <c r="C130" t="s">
        <v>994</v>
      </c>
      <c r="E130" t="s">
        <v>856</v>
      </c>
      <c r="F130" t="s">
        <v>855</v>
      </c>
      <c r="G130" s="415" t="s">
        <v>891</v>
      </c>
    </row>
    <row r="131" spans="1:7" x14ac:dyDescent="0.2">
      <c r="A131" t="s">
        <v>921</v>
      </c>
      <c r="B131" t="s">
        <v>952</v>
      </c>
      <c r="C131" t="s">
        <v>951</v>
      </c>
      <c r="E131" t="s">
        <v>856</v>
      </c>
      <c r="F131" t="s">
        <v>855</v>
      </c>
      <c r="G131" s="415" t="s">
        <v>946</v>
      </c>
    </row>
    <row r="132" spans="1:7" x14ac:dyDescent="0.2">
      <c r="A132" t="s">
        <v>921</v>
      </c>
      <c r="B132" t="s">
        <v>920</v>
      </c>
      <c r="C132" t="s">
        <v>919</v>
      </c>
      <c r="E132" t="s">
        <v>856</v>
      </c>
      <c r="F132" t="s">
        <v>855</v>
      </c>
      <c r="G132" s="415" t="s">
        <v>914</v>
      </c>
    </row>
    <row r="133" spans="1:7" x14ac:dyDescent="0.2">
      <c r="A133" t="s">
        <v>806</v>
      </c>
      <c r="B133" t="s">
        <v>807</v>
      </c>
      <c r="C133" t="s">
        <v>924</v>
      </c>
      <c r="E133" t="s">
        <v>856</v>
      </c>
      <c r="F133" t="s">
        <v>855</v>
      </c>
      <c r="G133" s="415" t="s">
        <v>923</v>
      </c>
    </row>
    <row r="134" spans="1:7" x14ac:dyDescent="0.2">
      <c r="A134" t="s">
        <v>1134</v>
      </c>
      <c r="B134" t="s">
        <v>1135</v>
      </c>
      <c r="C134" t="s">
        <v>1136</v>
      </c>
      <c r="E134" t="s">
        <v>856</v>
      </c>
      <c r="F134" t="s">
        <v>855</v>
      </c>
      <c r="G134" s="415" t="s">
        <v>1137</v>
      </c>
    </row>
    <row r="135" spans="1:7" x14ac:dyDescent="0.2">
      <c r="A135" t="s">
        <v>811</v>
      </c>
      <c r="B135" t="s">
        <v>751</v>
      </c>
      <c r="C135" t="s">
        <v>939</v>
      </c>
      <c r="E135" t="s">
        <v>856</v>
      </c>
      <c r="F135" t="s">
        <v>855</v>
      </c>
      <c r="G135" s="415" t="s">
        <v>882</v>
      </c>
    </row>
    <row r="136" spans="1:7" x14ac:dyDescent="0.2">
      <c r="A136" t="s">
        <v>1138</v>
      </c>
      <c r="B136" t="s">
        <v>522</v>
      </c>
      <c r="C136" t="s">
        <v>1139</v>
      </c>
      <c r="E136" t="s">
        <v>856</v>
      </c>
      <c r="F136" t="s">
        <v>855</v>
      </c>
      <c r="G136" s="415" t="s">
        <v>935</v>
      </c>
    </row>
  </sheetData>
  <sheetProtection algorithmName="SHA-512" hashValue="MuF4ZgrT8AxcZHPpjO7r7wdSzcxjE2VCPQgHuWQa/tLfLPt+wom8orTjdD6LoOHwwMuPGdQdO9vubK0cZNjbGg==" saltValue="ZoeT3XHplLpkVYkUor/9ww==" spinCount="100000" sheet="1" objects="1" scenarios="1"/>
  <mergeCells count="1">
    <mergeCell ref="A1:G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275"/>
  <sheetViews>
    <sheetView workbookViewId="0">
      <selection activeCell="I29" sqref="I29"/>
    </sheetView>
  </sheetViews>
  <sheetFormatPr baseColWidth="10" defaultColWidth="8.83203125" defaultRowHeight="13" x14ac:dyDescent="0.15"/>
  <cols>
    <col min="1" max="1" width="0.5" style="185" customWidth="1"/>
    <col min="2" max="2" width="20.1640625" style="185" customWidth="1"/>
    <col min="3" max="3" width="21.5" style="185" customWidth="1"/>
    <col min="4" max="4" width="15" style="185" customWidth="1"/>
    <col min="5" max="5" width="20" style="185" bestFit="1" customWidth="1"/>
    <col min="6" max="256" width="9" style="185"/>
    <col min="257" max="257" width="0.5" style="185" customWidth="1"/>
    <col min="258" max="258" width="20.1640625" style="185" customWidth="1"/>
    <col min="259" max="259" width="21.5" style="185" customWidth="1"/>
    <col min="260" max="260" width="15" style="185" customWidth="1"/>
    <col min="261" max="261" width="4.6640625" style="185" customWidth="1"/>
    <col min="262" max="512" width="9" style="185"/>
    <col min="513" max="513" width="0.5" style="185" customWidth="1"/>
    <col min="514" max="514" width="20.1640625" style="185" customWidth="1"/>
    <col min="515" max="515" width="21.5" style="185" customWidth="1"/>
    <col min="516" max="516" width="15" style="185" customWidth="1"/>
    <col min="517" max="517" width="4.6640625" style="185" customWidth="1"/>
    <col min="518" max="768" width="9" style="185"/>
    <col min="769" max="769" width="0.5" style="185" customWidth="1"/>
    <col min="770" max="770" width="20.1640625" style="185" customWidth="1"/>
    <col min="771" max="771" width="21.5" style="185" customWidth="1"/>
    <col min="772" max="772" width="15" style="185" customWidth="1"/>
    <col min="773" max="773" width="4.6640625" style="185" customWidth="1"/>
    <col min="774" max="1024" width="9" style="185"/>
    <col min="1025" max="1025" width="0.5" style="185" customWidth="1"/>
    <col min="1026" max="1026" width="20.1640625" style="185" customWidth="1"/>
    <col min="1027" max="1027" width="21.5" style="185" customWidth="1"/>
    <col min="1028" max="1028" width="15" style="185" customWidth="1"/>
    <col min="1029" max="1029" width="4.6640625" style="185" customWidth="1"/>
    <col min="1030" max="1280" width="9" style="185"/>
    <col min="1281" max="1281" width="0.5" style="185" customWidth="1"/>
    <col min="1282" max="1282" width="20.1640625" style="185" customWidth="1"/>
    <col min="1283" max="1283" width="21.5" style="185" customWidth="1"/>
    <col min="1284" max="1284" width="15" style="185" customWidth="1"/>
    <col min="1285" max="1285" width="4.6640625" style="185" customWidth="1"/>
    <col min="1286" max="1536" width="9" style="185"/>
    <col min="1537" max="1537" width="0.5" style="185" customWidth="1"/>
    <col min="1538" max="1538" width="20.1640625" style="185" customWidth="1"/>
    <col min="1539" max="1539" width="21.5" style="185" customWidth="1"/>
    <col min="1540" max="1540" width="15" style="185" customWidth="1"/>
    <col min="1541" max="1541" width="4.6640625" style="185" customWidth="1"/>
    <col min="1542" max="1792" width="9" style="185"/>
    <col min="1793" max="1793" width="0.5" style="185" customWidth="1"/>
    <col min="1794" max="1794" width="20.1640625" style="185" customWidth="1"/>
    <col min="1795" max="1795" width="21.5" style="185" customWidth="1"/>
    <col min="1796" max="1796" width="15" style="185" customWidth="1"/>
    <col min="1797" max="1797" width="4.6640625" style="185" customWidth="1"/>
    <col min="1798" max="2048" width="9" style="185"/>
    <col min="2049" max="2049" width="0.5" style="185" customWidth="1"/>
    <col min="2050" max="2050" width="20.1640625" style="185" customWidth="1"/>
    <col min="2051" max="2051" width="21.5" style="185" customWidth="1"/>
    <col min="2052" max="2052" width="15" style="185" customWidth="1"/>
    <col min="2053" max="2053" width="4.6640625" style="185" customWidth="1"/>
    <col min="2054" max="2304" width="9" style="185"/>
    <col min="2305" max="2305" width="0.5" style="185" customWidth="1"/>
    <col min="2306" max="2306" width="20.1640625" style="185" customWidth="1"/>
    <col min="2307" max="2307" width="21.5" style="185" customWidth="1"/>
    <col min="2308" max="2308" width="15" style="185" customWidth="1"/>
    <col min="2309" max="2309" width="4.6640625" style="185" customWidth="1"/>
    <col min="2310" max="2560" width="9" style="185"/>
    <col min="2561" max="2561" width="0.5" style="185" customWidth="1"/>
    <col min="2562" max="2562" width="20.1640625" style="185" customWidth="1"/>
    <col min="2563" max="2563" width="21.5" style="185" customWidth="1"/>
    <col min="2564" max="2564" width="15" style="185" customWidth="1"/>
    <col min="2565" max="2565" width="4.6640625" style="185" customWidth="1"/>
    <col min="2566" max="2816" width="9" style="185"/>
    <col min="2817" max="2817" width="0.5" style="185" customWidth="1"/>
    <col min="2818" max="2818" width="20.1640625" style="185" customWidth="1"/>
    <col min="2819" max="2819" width="21.5" style="185" customWidth="1"/>
    <col min="2820" max="2820" width="15" style="185" customWidth="1"/>
    <col min="2821" max="2821" width="4.6640625" style="185" customWidth="1"/>
    <col min="2822" max="3072" width="9" style="185"/>
    <col min="3073" max="3073" width="0.5" style="185" customWidth="1"/>
    <col min="3074" max="3074" width="20.1640625" style="185" customWidth="1"/>
    <col min="3075" max="3075" width="21.5" style="185" customWidth="1"/>
    <col min="3076" max="3076" width="15" style="185" customWidth="1"/>
    <col min="3077" max="3077" width="4.6640625" style="185" customWidth="1"/>
    <col min="3078" max="3328" width="9" style="185"/>
    <col min="3329" max="3329" width="0.5" style="185" customWidth="1"/>
    <col min="3330" max="3330" width="20.1640625" style="185" customWidth="1"/>
    <col min="3331" max="3331" width="21.5" style="185" customWidth="1"/>
    <col min="3332" max="3332" width="15" style="185" customWidth="1"/>
    <col min="3333" max="3333" width="4.6640625" style="185" customWidth="1"/>
    <col min="3334" max="3584" width="9" style="185"/>
    <col min="3585" max="3585" width="0.5" style="185" customWidth="1"/>
    <col min="3586" max="3586" width="20.1640625" style="185" customWidth="1"/>
    <col min="3587" max="3587" width="21.5" style="185" customWidth="1"/>
    <col min="3588" max="3588" width="15" style="185" customWidth="1"/>
    <col min="3589" max="3589" width="4.6640625" style="185" customWidth="1"/>
    <col min="3590" max="3840" width="9" style="185"/>
    <col min="3841" max="3841" width="0.5" style="185" customWidth="1"/>
    <col min="3842" max="3842" width="20.1640625" style="185" customWidth="1"/>
    <col min="3843" max="3843" width="21.5" style="185" customWidth="1"/>
    <col min="3844" max="3844" width="15" style="185" customWidth="1"/>
    <col min="3845" max="3845" width="4.6640625" style="185" customWidth="1"/>
    <col min="3846" max="4096" width="9" style="185"/>
    <col min="4097" max="4097" width="0.5" style="185" customWidth="1"/>
    <col min="4098" max="4098" width="20.1640625" style="185" customWidth="1"/>
    <col min="4099" max="4099" width="21.5" style="185" customWidth="1"/>
    <col min="4100" max="4100" width="15" style="185" customWidth="1"/>
    <col min="4101" max="4101" width="4.6640625" style="185" customWidth="1"/>
    <col min="4102" max="4352" width="9" style="185"/>
    <col min="4353" max="4353" width="0.5" style="185" customWidth="1"/>
    <col min="4354" max="4354" width="20.1640625" style="185" customWidth="1"/>
    <col min="4355" max="4355" width="21.5" style="185" customWidth="1"/>
    <col min="4356" max="4356" width="15" style="185" customWidth="1"/>
    <col min="4357" max="4357" width="4.6640625" style="185" customWidth="1"/>
    <col min="4358" max="4608" width="9" style="185"/>
    <col min="4609" max="4609" width="0.5" style="185" customWidth="1"/>
    <col min="4610" max="4610" width="20.1640625" style="185" customWidth="1"/>
    <col min="4611" max="4611" width="21.5" style="185" customWidth="1"/>
    <col min="4612" max="4612" width="15" style="185" customWidth="1"/>
    <col min="4613" max="4613" width="4.6640625" style="185" customWidth="1"/>
    <col min="4614" max="4864" width="9" style="185"/>
    <col min="4865" max="4865" width="0.5" style="185" customWidth="1"/>
    <col min="4866" max="4866" width="20.1640625" style="185" customWidth="1"/>
    <col min="4867" max="4867" width="21.5" style="185" customWidth="1"/>
    <col min="4868" max="4868" width="15" style="185" customWidth="1"/>
    <col min="4869" max="4869" width="4.6640625" style="185" customWidth="1"/>
    <col min="4870" max="5120" width="9" style="185"/>
    <col min="5121" max="5121" width="0.5" style="185" customWidth="1"/>
    <col min="5122" max="5122" width="20.1640625" style="185" customWidth="1"/>
    <col min="5123" max="5123" width="21.5" style="185" customWidth="1"/>
    <col min="5124" max="5124" width="15" style="185" customWidth="1"/>
    <col min="5125" max="5125" width="4.6640625" style="185" customWidth="1"/>
    <col min="5126" max="5376" width="9" style="185"/>
    <col min="5377" max="5377" width="0.5" style="185" customWidth="1"/>
    <col min="5378" max="5378" width="20.1640625" style="185" customWidth="1"/>
    <col min="5379" max="5379" width="21.5" style="185" customWidth="1"/>
    <col min="5380" max="5380" width="15" style="185" customWidth="1"/>
    <col min="5381" max="5381" width="4.6640625" style="185" customWidth="1"/>
    <col min="5382" max="5632" width="9" style="185"/>
    <col min="5633" max="5633" width="0.5" style="185" customWidth="1"/>
    <col min="5634" max="5634" width="20.1640625" style="185" customWidth="1"/>
    <col min="5635" max="5635" width="21.5" style="185" customWidth="1"/>
    <col min="5636" max="5636" width="15" style="185" customWidth="1"/>
    <col min="5637" max="5637" width="4.6640625" style="185" customWidth="1"/>
    <col min="5638" max="5888" width="9" style="185"/>
    <col min="5889" max="5889" width="0.5" style="185" customWidth="1"/>
    <col min="5890" max="5890" width="20.1640625" style="185" customWidth="1"/>
    <col min="5891" max="5891" width="21.5" style="185" customWidth="1"/>
    <col min="5892" max="5892" width="15" style="185" customWidth="1"/>
    <col min="5893" max="5893" width="4.6640625" style="185" customWidth="1"/>
    <col min="5894" max="6144" width="9" style="185"/>
    <col min="6145" max="6145" width="0.5" style="185" customWidth="1"/>
    <col min="6146" max="6146" width="20.1640625" style="185" customWidth="1"/>
    <col min="6147" max="6147" width="21.5" style="185" customWidth="1"/>
    <col min="6148" max="6148" width="15" style="185" customWidth="1"/>
    <col min="6149" max="6149" width="4.6640625" style="185" customWidth="1"/>
    <col min="6150" max="6400" width="9" style="185"/>
    <col min="6401" max="6401" width="0.5" style="185" customWidth="1"/>
    <col min="6402" max="6402" width="20.1640625" style="185" customWidth="1"/>
    <col min="6403" max="6403" width="21.5" style="185" customWidth="1"/>
    <col min="6404" max="6404" width="15" style="185" customWidth="1"/>
    <col min="6405" max="6405" width="4.6640625" style="185" customWidth="1"/>
    <col min="6406" max="6656" width="9" style="185"/>
    <col min="6657" max="6657" width="0.5" style="185" customWidth="1"/>
    <col min="6658" max="6658" width="20.1640625" style="185" customWidth="1"/>
    <col min="6659" max="6659" width="21.5" style="185" customWidth="1"/>
    <col min="6660" max="6660" width="15" style="185" customWidth="1"/>
    <col min="6661" max="6661" width="4.6640625" style="185" customWidth="1"/>
    <col min="6662" max="6912" width="9" style="185"/>
    <col min="6913" max="6913" width="0.5" style="185" customWidth="1"/>
    <col min="6914" max="6914" width="20.1640625" style="185" customWidth="1"/>
    <col min="6915" max="6915" width="21.5" style="185" customWidth="1"/>
    <col min="6916" max="6916" width="15" style="185" customWidth="1"/>
    <col min="6917" max="6917" width="4.6640625" style="185" customWidth="1"/>
    <col min="6918" max="7168" width="9" style="185"/>
    <col min="7169" max="7169" width="0.5" style="185" customWidth="1"/>
    <col min="7170" max="7170" width="20.1640625" style="185" customWidth="1"/>
    <col min="7171" max="7171" width="21.5" style="185" customWidth="1"/>
    <col min="7172" max="7172" width="15" style="185" customWidth="1"/>
    <col min="7173" max="7173" width="4.6640625" style="185" customWidth="1"/>
    <col min="7174" max="7424" width="9" style="185"/>
    <col min="7425" max="7425" width="0.5" style="185" customWidth="1"/>
    <col min="7426" max="7426" width="20.1640625" style="185" customWidth="1"/>
    <col min="7427" max="7427" width="21.5" style="185" customWidth="1"/>
    <col min="7428" max="7428" width="15" style="185" customWidth="1"/>
    <col min="7429" max="7429" width="4.6640625" style="185" customWidth="1"/>
    <col min="7430" max="7680" width="9" style="185"/>
    <col min="7681" max="7681" width="0.5" style="185" customWidth="1"/>
    <col min="7682" max="7682" width="20.1640625" style="185" customWidth="1"/>
    <col min="7683" max="7683" width="21.5" style="185" customWidth="1"/>
    <col min="7684" max="7684" width="15" style="185" customWidth="1"/>
    <col min="7685" max="7685" width="4.6640625" style="185" customWidth="1"/>
    <col min="7686" max="7936" width="9" style="185"/>
    <col min="7937" max="7937" width="0.5" style="185" customWidth="1"/>
    <col min="7938" max="7938" width="20.1640625" style="185" customWidth="1"/>
    <col min="7939" max="7939" width="21.5" style="185" customWidth="1"/>
    <col min="7940" max="7940" width="15" style="185" customWidth="1"/>
    <col min="7941" max="7941" width="4.6640625" style="185" customWidth="1"/>
    <col min="7942" max="8192" width="9" style="185"/>
    <col min="8193" max="8193" width="0.5" style="185" customWidth="1"/>
    <col min="8194" max="8194" width="20.1640625" style="185" customWidth="1"/>
    <col min="8195" max="8195" width="21.5" style="185" customWidth="1"/>
    <col min="8196" max="8196" width="15" style="185" customWidth="1"/>
    <col min="8197" max="8197" width="4.6640625" style="185" customWidth="1"/>
    <col min="8198" max="8448" width="9" style="185"/>
    <col min="8449" max="8449" width="0.5" style="185" customWidth="1"/>
    <col min="8450" max="8450" width="20.1640625" style="185" customWidth="1"/>
    <col min="8451" max="8451" width="21.5" style="185" customWidth="1"/>
    <col min="8452" max="8452" width="15" style="185" customWidth="1"/>
    <col min="8453" max="8453" width="4.6640625" style="185" customWidth="1"/>
    <col min="8454" max="8704" width="9" style="185"/>
    <col min="8705" max="8705" width="0.5" style="185" customWidth="1"/>
    <col min="8706" max="8706" width="20.1640625" style="185" customWidth="1"/>
    <col min="8707" max="8707" width="21.5" style="185" customWidth="1"/>
    <col min="8708" max="8708" width="15" style="185" customWidth="1"/>
    <col min="8709" max="8709" width="4.6640625" style="185" customWidth="1"/>
    <col min="8710" max="8960" width="9" style="185"/>
    <col min="8961" max="8961" width="0.5" style="185" customWidth="1"/>
    <col min="8962" max="8962" width="20.1640625" style="185" customWidth="1"/>
    <col min="8963" max="8963" width="21.5" style="185" customWidth="1"/>
    <col min="8964" max="8964" width="15" style="185" customWidth="1"/>
    <col min="8965" max="8965" width="4.6640625" style="185" customWidth="1"/>
    <col min="8966" max="9216" width="9" style="185"/>
    <col min="9217" max="9217" width="0.5" style="185" customWidth="1"/>
    <col min="9218" max="9218" width="20.1640625" style="185" customWidth="1"/>
    <col min="9219" max="9219" width="21.5" style="185" customWidth="1"/>
    <col min="9220" max="9220" width="15" style="185" customWidth="1"/>
    <col min="9221" max="9221" width="4.6640625" style="185" customWidth="1"/>
    <col min="9222" max="9472" width="9" style="185"/>
    <col min="9473" max="9473" width="0.5" style="185" customWidth="1"/>
    <col min="9474" max="9474" width="20.1640625" style="185" customWidth="1"/>
    <col min="9475" max="9475" width="21.5" style="185" customWidth="1"/>
    <col min="9476" max="9476" width="15" style="185" customWidth="1"/>
    <col min="9477" max="9477" width="4.6640625" style="185" customWidth="1"/>
    <col min="9478" max="9728" width="9" style="185"/>
    <col min="9729" max="9729" width="0.5" style="185" customWidth="1"/>
    <col min="9730" max="9730" width="20.1640625" style="185" customWidth="1"/>
    <col min="9731" max="9731" width="21.5" style="185" customWidth="1"/>
    <col min="9732" max="9732" width="15" style="185" customWidth="1"/>
    <col min="9733" max="9733" width="4.6640625" style="185" customWidth="1"/>
    <col min="9734" max="9984" width="9" style="185"/>
    <col min="9985" max="9985" width="0.5" style="185" customWidth="1"/>
    <col min="9986" max="9986" width="20.1640625" style="185" customWidth="1"/>
    <col min="9987" max="9987" width="21.5" style="185" customWidth="1"/>
    <col min="9988" max="9988" width="15" style="185" customWidth="1"/>
    <col min="9989" max="9989" width="4.6640625" style="185" customWidth="1"/>
    <col min="9990" max="10240" width="9" style="185"/>
    <col min="10241" max="10241" width="0.5" style="185" customWidth="1"/>
    <col min="10242" max="10242" width="20.1640625" style="185" customWidth="1"/>
    <col min="10243" max="10243" width="21.5" style="185" customWidth="1"/>
    <col min="10244" max="10244" width="15" style="185" customWidth="1"/>
    <col min="10245" max="10245" width="4.6640625" style="185" customWidth="1"/>
    <col min="10246" max="10496" width="9" style="185"/>
    <col min="10497" max="10497" width="0.5" style="185" customWidth="1"/>
    <col min="10498" max="10498" width="20.1640625" style="185" customWidth="1"/>
    <col min="10499" max="10499" width="21.5" style="185" customWidth="1"/>
    <col min="10500" max="10500" width="15" style="185" customWidth="1"/>
    <col min="10501" max="10501" width="4.6640625" style="185" customWidth="1"/>
    <col min="10502" max="10752" width="9" style="185"/>
    <col min="10753" max="10753" width="0.5" style="185" customWidth="1"/>
    <col min="10754" max="10754" width="20.1640625" style="185" customWidth="1"/>
    <col min="10755" max="10755" width="21.5" style="185" customWidth="1"/>
    <col min="10756" max="10756" width="15" style="185" customWidth="1"/>
    <col min="10757" max="10757" width="4.6640625" style="185" customWidth="1"/>
    <col min="10758" max="11008" width="9" style="185"/>
    <col min="11009" max="11009" width="0.5" style="185" customWidth="1"/>
    <col min="11010" max="11010" width="20.1640625" style="185" customWidth="1"/>
    <col min="11011" max="11011" width="21.5" style="185" customWidth="1"/>
    <col min="11012" max="11012" width="15" style="185" customWidth="1"/>
    <col min="11013" max="11013" width="4.6640625" style="185" customWidth="1"/>
    <col min="11014" max="11264" width="9" style="185"/>
    <col min="11265" max="11265" width="0.5" style="185" customWidth="1"/>
    <col min="11266" max="11266" width="20.1640625" style="185" customWidth="1"/>
    <col min="11267" max="11267" width="21.5" style="185" customWidth="1"/>
    <col min="11268" max="11268" width="15" style="185" customWidth="1"/>
    <col min="11269" max="11269" width="4.6640625" style="185" customWidth="1"/>
    <col min="11270" max="11520" width="9" style="185"/>
    <col min="11521" max="11521" width="0.5" style="185" customWidth="1"/>
    <col min="11522" max="11522" width="20.1640625" style="185" customWidth="1"/>
    <col min="11523" max="11523" width="21.5" style="185" customWidth="1"/>
    <col min="11524" max="11524" width="15" style="185" customWidth="1"/>
    <col min="11525" max="11525" width="4.6640625" style="185" customWidth="1"/>
    <col min="11526" max="11776" width="9" style="185"/>
    <col min="11777" max="11777" width="0.5" style="185" customWidth="1"/>
    <col min="11778" max="11778" width="20.1640625" style="185" customWidth="1"/>
    <col min="11779" max="11779" width="21.5" style="185" customWidth="1"/>
    <col min="11780" max="11780" width="15" style="185" customWidth="1"/>
    <col min="11781" max="11781" width="4.6640625" style="185" customWidth="1"/>
    <col min="11782" max="12032" width="9" style="185"/>
    <col min="12033" max="12033" width="0.5" style="185" customWidth="1"/>
    <col min="12034" max="12034" width="20.1640625" style="185" customWidth="1"/>
    <col min="12035" max="12035" width="21.5" style="185" customWidth="1"/>
    <col min="12036" max="12036" width="15" style="185" customWidth="1"/>
    <col min="12037" max="12037" width="4.6640625" style="185" customWidth="1"/>
    <col min="12038" max="12288" width="9" style="185"/>
    <col min="12289" max="12289" width="0.5" style="185" customWidth="1"/>
    <col min="12290" max="12290" width="20.1640625" style="185" customWidth="1"/>
    <col min="12291" max="12291" width="21.5" style="185" customWidth="1"/>
    <col min="12292" max="12292" width="15" style="185" customWidth="1"/>
    <col min="12293" max="12293" width="4.6640625" style="185" customWidth="1"/>
    <col min="12294" max="12544" width="9" style="185"/>
    <col min="12545" max="12545" width="0.5" style="185" customWidth="1"/>
    <col min="12546" max="12546" width="20.1640625" style="185" customWidth="1"/>
    <col min="12547" max="12547" width="21.5" style="185" customWidth="1"/>
    <col min="12548" max="12548" width="15" style="185" customWidth="1"/>
    <col min="12549" max="12549" width="4.6640625" style="185" customWidth="1"/>
    <col min="12550" max="12800" width="9" style="185"/>
    <col min="12801" max="12801" width="0.5" style="185" customWidth="1"/>
    <col min="12802" max="12802" width="20.1640625" style="185" customWidth="1"/>
    <col min="12803" max="12803" width="21.5" style="185" customWidth="1"/>
    <col min="12804" max="12804" width="15" style="185" customWidth="1"/>
    <col min="12805" max="12805" width="4.6640625" style="185" customWidth="1"/>
    <col min="12806" max="13056" width="9" style="185"/>
    <col min="13057" max="13057" width="0.5" style="185" customWidth="1"/>
    <col min="13058" max="13058" width="20.1640625" style="185" customWidth="1"/>
    <col min="13059" max="13059" width="21.5" style="185" customWidth="1"/>
    <col min="13060" max="13060" width="15" style="185" customWidth="1"/>
    <col min="13061" max="13061" width="4.6640625" style="185" customWidth="1"/>
    <col min="13062" max="13312" width="9" style="185"/>
    <col min="13313" max="13313" width="0.5" style="185" customWidth="1"/>
    <col min="13314" max="13314" width="20.1640625" style="185" customWidth="1"/>
    <col min="13315" max="13315" width="21.5" style="185" customWidth="1"/>
    <col min="13316" max="13316" width="15" style="185" customWidth="1"/>
    <col min="13317" max="13317" width="4.6640625" style="185" customWidth="1"/>
    <col min="13318" max="13568" width="9" style="185"/>
    <col min="13569" max="13569" width="0.5" style="185" customWidth="1"/>
    <col min="13570" max="13570" width="20.1640625" style="185" customWidth="1"/>
    <col min="13571" max="13571" width="21.5" style="185" customWidth="1"/>
    <col min="13572" max="13572" width="15" style="185" customWidth="1"/>
    <col min="13573" max="13573" width="4.6640625" style="185" customWidth="1"/>
    <col min="13574" max="13824" width="9" style="185"/>
    <col min="13825" max="13825" width="0.5" style="185" customWidth="1"/>
    <col min="13826" max="13826" width="20.1640625" style="185" customWidth="1"/>
    <col min="13827" max="13827" width="21.5" style="185" customWidth="1"/>
    <col min="13828" max="13828" width="15" style="185" customWidth="1"/>
    <col min="13829" max="13829" width="4.6640625" style="185" customWidth="1"/>
    <col min="13830" max="14080" width="9" style="185"/>
    <col min="14081" max="14081" width="0.5" style="185" customWidth="1"/>
    <col min="14082" max="14082" width="20.1640625" style="185" customWidth="1"/>
    <col min="14083" max="14083" width="21.5" style="185" customWidth="1"/>
    <col min="14084" max="14084" width="15" style="185" customWidth="1"/>
    <col min="14085" max="14085" width="4.6640625" style="185" customWidth="1"/>
    <col min="14086" max="14336" width="9" style="185"/>
    <col min="14337" max="14337" width="0.5" style="185" customWidth="1"/>
    <col min="14338" max="14338" width="20.1640625" style="185" customWidth="1"/>
    <col min="14339" max="14339" width="21.5" style="185" customWidth="1"/>
    <col min="14340" max="14340" width="15" style="185" customWidth="1"/>
    <col min="14341" max="14341" width="4.6640625" style="185" customWidth="1"/>
    <col min="14342" max="14592" width="9" style="185"/>
    <col min="14593" max="14593" width="0.5" style="185" customWidth="1"/>
    <col min="14594" max="14594" width="20.1640625" style="185" customWidth="1"/>
    <col min="14595" max="14595" width="21.5" style="185" customWidth="1"/>
    <col min="14596" max="14596" width="15" style="185" customWidth="1"/>
    <col min="14597" max="14597" width="4.6640625" style="185" customWidth="1"/>
    <col min="14598" max="14848" width="9" style="185"/>
    <col min="14849" max="14849" width="0.5" style="185" customWidth="1"/>
    <col min="14850" max="14850" width="20.1640625" style="185" customWidth="1"/>
    <col min="14851" max="14851" width="21.5" style="185" customWidth="1"/>
    <col min="14852" max="14852" width="15" style="185" customWidth="1"/>
    <col min="14853" max="14853" width="4.6640625" style="185" customWidth="1"/>
    <col min="14854" max="15104" width="9" style="185"/>
    <col min="15105" max="15105" width="0.5" style="185" customWidth="1"/>
    <col min="15106" max="15106" width="20.1640625" style="185" customWidth="1"/>
    <col min="15107" max="15107" width="21.5" style="185" customWidth="1"/>
    <col min="15108" max="15108" width="15" style="185" customWidth="1"/>
    <col min="15109" max="15109" width="4.6640625" style="185" customWidth="1"/>
    <col min="15110" max="15360" width="9" style="185"/>
    <col min="15361" max="15361" width="0.5" style="185" customWidth="1"/>
    <col min="15362" max="15362" width="20.1640625" style="185" customWidth="1"/>
    <col min="15363" max="15363" width="21.5" style="185" customWidth="1"/>
    <col min="15364" max="15364" width="15" style="185" customWidth="1"/>
    <col min="15365" max="15365" width="4.6640625" style="185" customWidth="1"/>
    <col min="15366" max="15616" width="9" style="185"/>
    <col min="15617" max="15617" width="0.5" style="185" customWidth="1"/>
    <col min="15618" max="15618" width="20.1640625" style="185" customWidth="1"/>
    <col min="15619" max="15619" width="21.5" style="185" customWidth="1"/>
    <col min="15620" max="15620" width="15" style="185" customWidth="1"/>
    <col min="15621" max="15621" width="4.6640625" style="185" customWidth="1"/>
    <col min="15622" max="15872" width="9" style="185"/>
    <col min="15873" max="15873" width="0.5" style="185" customWidth="1"/>
    <col min="15874" max="15874" width="20.1640625" style="185" customWidth="1"/>
    <col min="15875" max="15875" width="21.5" style="185" customWidth="1"/>
    <col min="15876" max="15876" width="15" style="185" customWidth="1"/>
    <col min="15877" max="15877" width="4.6640625" style="185" customWidth="1"/>
    <col min="15878" max="16128" width="9" style="185"/>
    <col min="16129" max="16129" width="0.5" style="185" customWidth="1"/>
    <col min="16130" max="16130" width="20.1640625" style="185" customWidth="1"/>
    <col min="16131" max="16131" width="21.5" style="185" customWidth="1"/>
    <col min="16132" max="16132" width="15" style="185" customWidth="1"/>
    <col min="16133" max="16133" width="4.6640625" style="185" customWidth="1"/>
    <col min="16134" max="16384" width="9" style="185"/>
  </cols>
  <sheetData>
    <row r="1" spans="2:5" s="183" customFormat="1" ht="35.25" customHeight="1" x14ac:dyDescent="0.15">
      <c r="B1" s="182" t="s">
        <v>343</v>
      </c>
      <c r="C1" s="182" t="s">
        <v>344</v>
      </c>
      <c r="D1" s="182" t="s">
        <v>345</v>
      </c>
    </row>
    <row r="2" spans="2:5" s="183" customFormat="1" ht="13.5" customHeight="1" x14ac:dyDescent="0.2">
      <c r="B2" s="184" t="s">
        <v>346</v>
      </c>
      <c r="C2" s="184" t="s">
        <v>347</v>
      </c>
      <c r="D2" s="184" t="s">
        <v>348</v>
      </c>
      <c r="E2" s="183" t="str">
        <f>PROPER(C2&amp;IF(D2="",""," "&amp;D2)&amp;" "&amp;B2)</f>
        <v>Audrey J Abraham</v>
      </c>
    </row>
    <row r="3" spans="2:5" s="183" customFormat="1" ht="13.5" customHeight="1" x14ac:dyDescent="0.2">
      <c r="B3" s="184" t="s">
        <v>349</v>
      </c>
      <c r="C3" s="184" t="s">
        <v>350</v>
      </c>
      <c r="D3" s="184" t="s">
        <v>351</v>
      </c>
      <c r="E3" s="183" t="str">
        <f t="shared" ref="E3:E66" si="0">PROPER(C3&amp;IF(D3="",""," "&amp;D3)&amp;" "&amp;B3)</f>
        <v>Troy M Adamson</v>
      </c>
    </row>
    <row r="4" spans="2:5" s="183" customFormat="1" ht="13.5" customHeight="1" x14ac:dyDescent="0.2">
      <c r="B4" s="184" t="s">
        <v>352</v>
      </c>
      <c r="C4" s="184" t="s">
        <v>353</v>
      </c>
      <c r="D4" s="184" t="s">
        <v>354</v>
      </c>
      <c r="E4" s="183" t="str">
        <f t="shared" si="0"/>
        <v>Stephanie A Andenora</v>
      </c>
    </row>
    <row r="5" spans="2:5" s="183" customFormat="1" ht="13.5" customHeight="1" x14ac:dyDescent="0.2">
      <c r="B5" s="184" t="s">
        <v>355</v>
      </c>
      <c r="C5" s="184" t="s">
        <v>356</v>
      </c>
      <c r="D5" s="184" t="s">
        <v>354</v>
      </c>
      <c r="E5" s="183" t="str">
        <f t="shared" si="0"/>
        <v>Sarah A Aspenleiter</v>
      </c>
    </row>
    <row r="6" spans="2:5" s="183" customFormat="1" ht="13.5" customHeight="1" x14ac:dyDescent="0.2">
      <c r="B6" s="184" t="s">
        <v>357</v>
      </c>
      <c r="C6" s="184" t="s">
        <v>358</v>
      </c>
      <c r="D6" s="184"/>
      <c r="E6" s="183" t="str">
        <f t="shared" si="0"/>
        <v>Kristi Aulick</v>
      </c>
    </row>
    <row r="7" spans="2:5" s="183" customFormat="1" ht="13.5" customHeight="1" x14ac:dyDescent="0.2">
      <c r="B7" s="184" t="s">
        <v>359</v>
      </c>
      <c r="C7" s="184" t="s">
        <v>360</v>
      </c>
      <c r="D7" s="184" t="s">
        <v>361</v>
      </c>
      <c r="E7" s="183" t="str">
        <f t="shared" si="0"/>
        <v>Chana L Baker</v>
      </c>
    </row>
    <row r="8" spans="2:5" s="183" customFormat="1" ht="13.5" customHeight="1" x14ac:dyDescent="0.2">
      <c r="B8" s="184" t="s">
        <v>359</v>
      </c>
      <c r="C8" s="184" t="s">
        <v>362</v>
      </c>
      <c r="D8" s="184" t="s">
        <v>363</v>
      </c>
      <c r="E8" s="183" t="str">
        <f t="shared" si="0"/>
        <v>Melanie R Baker</v>
      </c>
    </row>
    <row r="9" spans="2:5" s="183" customFormat="1" ht="13.5" customHeight="1" x14ac:dyDescent="0.2">
      <c r="B9" s="184" t="s">
        <v>364</v>
      </c>
      <c r="C9" s="184" t="s">
        <v>365</v>
      </c>
      <c r="D9" s="184" t="s">
        <v>351</v>
      </c>
      <c r="E9" s="183" t="str">
        <f t="shared" si="0"/>
        <v>Hannah M Barnett</v>
      </c>
    </row>
    <row r="10" spans="2:5" s="183" customFormat="1" ht="13.5" customHeight="1" x14ac:dyDescent="0.2">
      <c r="B10" s="184" t="s">
        <v>364</v>
      </c>
      <c r="C10" s="184" t="s">
        <v>353</v>
      </c>
      <c r="D10" s="184" t="s">
        <v>351</v>
      </c>
      <c r="E10" s="183" t="str">
        <f t="shared" si="0"/>
        <v>Stephanie M Barnett</v>
      </c>
    </row>
    <row r="11" spans="2:5" s="183" customFormat="1" ht="13.5" customHeight="1" x14ac:dyDescent="0.2">
      <c r="B11" s="184" t="s">
        <v>366</v>
      </c>
      <c r="C11" s="184" t="s">
        <v>367</v>
      </c>
      <c r="D11" s="184" t="s">
        <v>351</v>
      </c>
      <c r="E11" s="183" t="str">
        <f t="shared" si="0"/>
        <v>David M Barnhardt</v>
      </c>
    </row>
    <row r="12" spans="2:5" s="183" customFormat="1" ht="13.5" customHeight="1" x14ac:dyDescent="0.2">
      <c r="B12" s="184" t="s">
        <v>368</v>
      </c>
      <c r="C12" s="184" t="s">
        <v>369</v>
      </c>
      <c r="D12" s="184" t="s">
        <v>370</v>
      </c>
      <c r="E12" s="183" t="str">
        <f t="shared" si="0"/>
        <v>Christopher D Barry</v>
      </c>
    </row>
    <row r="13" spans="2:5" s="183" customFormat="1" ht="13.5" customHeight="1" x14ac:dyDescent="0.2">
      <c r="B13" s="184" t="s">
        <v>371</v>
      </c>
      <c r="C13" s="184" t="s">
        <v>372</v>
      </c>
      <c r="D13" s="184" t="s">
        <v>373</v>
      </c>
      <c r="E13" s="183" t="str">
        <f t="shared" si="0"/>
        <v>Adam B Beatty</v>
      </c>
    </row>
    <row r="14" spans="2:5" s="183" customFormat="1" ht="13.5" customHeight="1" x14ac:dyDescent="0.2">
      <c r="B14" s="184" t="s">
        <v>371</v>
      </c>
      <c r="C14" s="184" t="s">
        <v>367</v>
      </c>
      <c r="D14" s="184" t="s">
        <v>373</v>
      </c>
      <c r="E14" s="183" t="str">
        <f t="shared" si="0"/>
        <v>David B Beatty</v>
      </c>
    </row>
    <row r="15" spans="2:5" s="183" customFormat="1" ht="13.5" customHeight="1" x14ac:dyDescent="0.2">
      <c r="B15" s="184" t="s">
        <v>374</v>
      </c>
      <c r="C15" s="184" t="s">
        <v>375</v>
      </c>
      <c r="D15" s="184" t="s">
        <v>376</v>
      </c>
      <c r="E15" s="183" t="str">
        <f t="shared" si="0"/>
        <v>Tami S Becker</v>
      </c>
    </row>
    <row r="16" spans="2:5" s="183" customFormat="1" ht="13.5" customHeight="1" x14ac:dyDescent="0.2">
      <c r="B16" s="184" t="s">
        <v>374</v>
      </c>
      <c r="C16" s="184" t="s">
        <v>377</v>
      </c>
      <c r="D16" s="184" t="s">
        <v>351</v>
      </c>
      <c r="E16" s="183" t="str">
        <f t="shared" si="0"/>
        <v>Joshua M Becker</v>
      </c>
    </row>
    <row r="17" spans="2:5" s="183" customFormat="1" ht="13.5" customHeight="1" x14ac:dyDescent="0.2">
      <c r="B17" s="184" t="s">
        <v>378</v>
      </c>
      <c r="C17" s="184" t="s">
        <v>379</v>
      </c>
      <c r="D17" s="184" t="s">
        <v>380</v>
      </c>
      <c r="E17" s="183" t="str">
        <f t="shared" si="0"/>
        <v>Richard T Bell</v>
      </c>
    </row>
    <row r="18" spans="2:5" s="183" customFormat="1" ht="13.5" customHeight="1" x14ac:dyDescent="0.2">
      <c r="B18" s="184" t="s">
        <v>381</v>
      </c>
      <c r="C18" s="184" t="s">
        <v>382</v>
      </c>
      <c r="D18" s="184" t="s">
        <v>361</v>
      </c>
      <c r="E18" s="183" t="str">
        <f t="shared" si="0"/>
        <v>Deborah L Bennett</v>
      </c>
    </row>
    <row r="19" spans="2:5" s="183" customFormat="1" ht="13.5" customHeight="1" x14ac:dyDescent="0.2">
      <c r="B19" s="184" t="s">
        <v>383</v>
      </c>
      <c r="C19" s="184" t="s">
        <v>384</v>
      </c>
      <c r="D19" s="184" t="s">
        <v>361</v>
      </c>
      <c r="E19" s="183" t="str">
        <f t="shared" si="0"/>
        <v>Michelle L Bennington-Lucarelli</v>
      </c>
    </row>
    <row r="20" spans="2:5" s="183" customFormat="1" ht="13.5" customHeight="1" x14ac:dyDescent="0.2">
      <c r="B20" s="184" t="s">
        <v>385</v>
      </c>
      <c r="C20" s="184" t="s">
        <v>386</v>
      </c>
      <c r="D20" s="184" t="s">
        <v>387</v>
      </c>
      <c r="E20" s="183" t="str">
        <f t="shared" si="0"/>
        <v>Dennis E Bills</v>
      </c>
    </row>
    <row r="21" spans="2:5" s="183" customFormat="1" ht="13.5" customHeight="1" x14ac:dyDescent="0.2">
      <c r="B21" s="184" t="s">
        <v>388</v>
      </c>
      <c r="C21" s="184" t="s">
        <v>389</v>
      </c>
      <c r="D21" s="184" t="s">
        <v>361</v>
      </c>
      <c r="E21" s="183" t="str">
        <f t="shared" si="0"/>
        <v>Regan L Blaha</v>
      </c>
    </row>
    <row r="22" spans="2:5" s="183" customFormat="1" ht="13.5" customHeight="1" x14ac:dyDescent="0.2">
      <c r="B22" s="184" t="s">
        <v>390</v>
      </c>
      <c r="C22" s="184" t="s">
        <v>391</v>
      </c>
      <c r="D22" s="184"/>
      <c r="E22" s="183" t="str">
        <f t="shared" si="0"/>
        <v>Lee Ann Blair</v>
      </c>
    </row>
    <row r="23" spans="2:5" s="183" customFormat="1" ht="13.5" customHeight="1" x14ac:dyDescent="0.2">
      <c r="B23" s="184" t="s">
        <v>392</v>
      </c>
      <c r="C23" s="184" t="s">
        <v>393</v>
      </c>
      <c r="D23" s="184" t="s">
        <v>361</v>
      </c>
      <c r="E23" s="183" t="str">
        <f t="shared" si="0"/>
        <v>Dana L Blawut</v>
      </c>
    </row>
    <row r="24" spans="2:5" s="183" customFormat="1" ht="13.5" customHeight="1" x14ac:dyDescent="0.2">
      <c r="B24" s="184" t="s">
        <v>394</v>
      </c>
      <c r="C24" s="184" t="s">
        <v>395</v>
      </c>
      <c r="D24" s="184" t="s">
        <v>370</v>
      </c>
      <c r="E24" s="183" t="str">
        <f t="shared" si="0"/>
        <v>Jane D Bowers</v>
      </c>
    </row>
    <row r="25" spans="2:5" s="183" customFormat="1" ht="13.5" customHeight="1" x14ac:dyDescent="0.2">
      <c r="B25" s="184" t="s">
        <v>396</v>
      </c>
      <c r="C25" s="184" t="s">
        <v>397</v>
      </c>
      <c r="D25" s="184" t="s">
        <v>370</v>
      </c>
      <c r="E25" s="183" t="str">
        <f t="shared" si="0"/>
        <v>Freda D Bradley</v>
      </c>
    </row>
    <row r="26" spans="2:5" s="183" customFormat="1" ht="13.5" customHeight="1" x14ac:dyDescent="0.2">
      <c r="B26" s="184" t="s">
        <v>398</v>
      </c>
      <c r="C26" s="184" t="s">
        <v>399</v>
      </c>
      <c r="D26" s="184" t="s">
        <v>380</v>
      </c>
      <c r="E26" s="183" t="str">
        <f t="shared" si="0"/>
        <v>Joseph T Brem</v>
      </c>
    </row>
    <row r="27" spans="2:5" s="183" customFormat="1" ht="13.5" customHeight="1" x14ac:dyDescent="0.2">
      <c r="B27" s="184" t="s">
        <v>400</v>
      </c>
      <c r="C27" s="184" t="s">
        <v>401</v>
      </c>
      <c r="D27" s="184" t="s">
        <v>354</v>
      </c>
      <c r="E27" s="183" t="str">
        <f t="shared" si="0"/>
        <v>Joyce A Britt</v>
      </c>
    </row>
    <row r="28" spans="2:5" s="183" customFormat="1" ht="13.5" customHeight="1" x14ac:dyDescent="0.2">
      <c r="B28" s="184" t="s">
        <v>402</v>
      </c>
      <c r="C28" s="184" t="s">
        <v>403</v>
      </c>
      <c r="D28" s="184" t="s">
        <v>404</v>
      </c>
      <c r="E28" s="183" t="str">
        <f t="shared" si="0"/>
        <v>Larry K Brown</v>
      </c>
    </row>
    <row r="29" spans="2:5" s="183" customFormat="1" ht="13.5" customHeight="1" x14ac:dyDescent="0.2">
      <c r="B29" s="184" t="s">
        <v>402</v>
      </c>
      <c r="C29" s="184" t="s">
        <v>405</v>
      </c>
      <c r="D29" s="184" t="s">
        <v>351</v>
      </c>
      <c r="E29" s="183" t="str">
        <f t="shared" si="0"/>
        <v>Lisa M Brown</v>
      </c>
    </row>
    <row r="30" spans="2:5" s="183" customFormat="1" ht="13.5" customHeight="1" x14ac:dyDescent="0.2">
      <c r="B30" s="184" t="s">
        <v>402</v>
      </c>
      <c r="C30" s="184" t="s">
        <v>406</v>
      </c>
      <c r="D30" s="184" t="s">
        <v>361</v>
      </c>
      <c r="E30" s="183" t="str">
        <f t="shared" si="0"/>
        <v>Rico L Brown</v>
      </c>
    </row>
    <row r="31" spans="2:5" s="183" customFormat="1" ht="13.5" customHeight="1" x14ac:dyDescent="0.2">
      <c r="B31" s="184" t="s">
        <v>402</v>
      </c>
      <c r="C31" s="184" t="s">
        <v>407</v>
      </c>
      <c r="D31" s="184" t="s">
        <v>363</v>
      </c>
      <c r="E31" s="183" t="str">
        <f t="shared" si="0"/>
        <v>Samuel R Brown</v>
      </c>
    </row>
    <row r="32" spans="2:5" s="183" customFormat="1" ht="13.5" customHeight="1" x14ac:dyDescent="0.2">
      <c r="B32" s="184" t="s">
        <v>408</v>
      </c>
      <c r="C32" s="184" t="s">
        <v>409</v>
      </c>
      <c r="D32" s="184" t="s">
        <v>361</v>
      </c>
      <c r="E32" s="183" t="str">
        <f t="shared" si="0"/>
        <v>Hollie L Buchanan</v>
      </c>
    </row>
    <row r="33" spans="2:5" s="183" customFormat="1" ht="13.5" customHeight="1" x14ac:dyDescent="0.2">
      <c r="B33" s="184" t="s">
        <v>410</v>
      </c>
      <c r="C33" s="184" t="s">
        <v>411</v>
      </c>
      <c r="D33" s="184" t="s">
        <v>412</v>
      </c>
      <c r="E33" s="183" t="str">
        <f t="shared" si="0"/>
        <v>Kelly N Bush</v>
      </c>
    </row>
    <row r="34" spans="2:5" s="183" customFormat="1" ht="13.5" customHeight="1" x14ac:dyDescent="0.2">
      <c r="B34" s="184" t="s">
        <v>413</v>
      </c>
      <c r="C34" s="184" t="s">
        <v>414</v>
      </c>
      <c r="D34" s="184" t="s">
        <v>354</v>
      </c>
      <c r="E34" s="183" t="str">
        <f t="shared" si="0"/>
        <v>Brooke A Calinger</v>
      </c>
    </row>
    <row r="35" spans="2:5" s="183" customFormat="1" ht="13.5" customHeight="1" x14ac:dyDescent="0.2">
      <c r="B35" s="184" t="s">
        <v>415</v>
      </c>
      <c r="C35" s="184" t="s">
        <v>416</v>
      </c>
      <c r="D35" s="184" t="s">
        <v>348</v>
      </c>
      <c r="E35" s="183" t="str">
        <f t="shared" si="0"/>
        <v>Raymond J Canter</v>
      </c>
    </row>
    <row r="36" spans="2:5" s="183" customFormat="1" ht="13.5" customHeight="1" x14ac:dyDescent="0.2">
      <c r="B36" s="184" t="s">
        <v>417</v>
      </c>
      <c r="C36" s="184" t="s">
        <v>418</v>
      </c>
      <c r="D36" s="184" t="s">
        <v>351</v>
      </c>
      <c r="E36" s="183" t="str">
        <f t="shared" si="0"/>
        <v>Gina M Cappiccie</v>
      </c>
    </row>
    <row r="37" spans="2:5" s="183" customFormat="1" ht="13.5" customHeight="1" x14ac:dyDescent="0.2">
      <c r="B37" s="184" t="s">
        <v>419</v>
      </c>
      <c r="C37" s="184" t="s">
        <v>420</v>
      </c>
      <c r="D37" s="184" t="s">
        <v>351</v>
      </c>
      <c r="E37" s="183" t="str">
        <f t="shared" si="0"/>
        <v>Henry M Cardello</v>
      </c>
    </row>
    <row r="38" spans="2:5" s="183" customFormat="1" ht="13.5" customHeight="1" x14ac:dyDescent="0.2">
      <c r="B38" s="184" t="s">
        <v>421</v>
      </c>
      <c r="C38" s="184" t="s">
        <v>422</v>
      </c>
      <c r="D38" s="184" t="s">
        <v>376</v>
      </c>
      <c r="E38" s="183" t="str">
        <f t="shared" si="0"/>
        <v>Peggy S Carmichael</v>
      </c>
    </row>
    <row r="39" spans="2:5" s="183" customFormat="1" ht="13.5" customHeight="1" x14ac:dyDescent="0.2">
      <c r="B39" s="184" t="s">
        <v>423</v>
      </c>
      <c r="C39" s="184" t="s">
        <v>424</v>
      </c>
      <c r="D39" s="184" t="s">
        <v>412</v>
      </c>
      <c r="E39" s="183" t="str">
        <f t="shared" si="0"/>
        <v>Erin N Carr</v>
      </c>
    </row>
    <row r="40" spans="2:5" s="183" customFormat="1" ht="13.5" customHeight="1" x14ac:dyDescent="0.2">
      <c r="B40" s="184" t="s">
        <v>425</v>
      </c>
      <c r="C40" s="184" t="s">
        <v>426</v>
      </c>
      <c r="D40" s="184" t="s">
        <v>370</v>
      </c>
      <c r="E40" s="183" t="str">
        <f t="shared" si="0"/>
        <v>Rick D Casper</v>
      </c>
    </row>
    <row r="41" spans="2:5" s="183" customFormat="1" ht="13.5" customHeight="1" x14ac:dyDescent="0.2">
      <c r="B41" s="184" t="s">
        <v>427</v>
      </c>
      <c r="C41" s="184" t="s">
        <v>428</v>
      </c>
      <c r="D41" s="184" t="s">
        <v>361</v>
      </c>
      <c r="E41" s="183" t="str">
        <f t="shared" si="0"/>
        <v>Bernard L Castello</v>
      </c>
    </row>
    <row r="42" spans="2:5" s="183" customFormat="1" ht="13.5" customHeight="1" x14ac:dyDescent="0.2">
      <c r="B42" s="184" t="s">
        <v>429</v>
      </c>
      <c r="C42" s="184" t="s">
        <v>430</v>
      </c>
      <c r="D42" s="184" t="s">
        <v>431</v>
      </c>
      <c r="E42" s="183" t="str">
        <f t="shared" si="0"/>
        <v>Justin C Castilow</v>
      </c>
    </row>
    <row r="43" spans="2:5" s="183" customFormat="1" ht="13.5" customHeight="1" x14ac:dyDescent="0.2">
      <c r="B43" s="184" t="s">
        <v>432</v>
      </c>
      <c r="C43" s="184" t="s">
        <v>420</v>
      </c>
      <c r="D43" s="184"/>
      <c r="E43" s="183" t="str">
        <f t="shared" si="0"/>
        <v>Henry Cercone</v>
      </c>
    </row>
    <row r="44" spans="2:5" s="183" customFormat="1" ht="13.5" customHeight="1" x14ac:dyDescent="0.2">
      <c r="B44" s="184" t="s">
        <v>433</v>
      </c>
      <c r="C44" s="184" t="s">
        <v>434</v>
      </c>
      <c r="D44" s="184" t="s">
        <v>376</v>
      </c>
      <c r="E44" s="183" t="str">
        <f t="shared" si="0"/>
        <v>Kara S Channels</v>
      </c>
    </row>
    <row r="45" spans="2:5" s="183" customFormat="1" ht="13.5" customHeight="1" x14ac:dyDescent="0.2">
      <c r="B45" s="184" t="s">
        <v>435</v>
      </c>
      <c r="C45" s="184" t="s">
        <v>382</v>
      </c>
      <c r="D45" s="184" t="s">
        <v>354</v>
      </c>
      <c r="E45" s="183" t="str">
        <f t="shared" si="0"/>
        <v>Deborah A Churella</v>
      </c>
    </row>
    <row r="46" spans="2:5" s="183" customFormat="1" ht="13.5" customHeight="1" x14ac:dyDescent="0.2">
      <c r="B46" s="184" t="s">
        <v>436</v>
      </c>
      <c r="C46" s="184" t="s">
        <v>437</v>
      </c>
      <c r="D46" s="184" t="s">
        <v>387</v>
      </c>
      <c r="E46" s="183" t="str">
        <f t="shared" si="0"/>
        <v>Darryl E Clausell</v>
      </c>
    </row>
    <row r="47" spans="2:5" s="183" customFormat="1" ht="13.5" customHeight="1" x14ac:dyDescent="0.2">
      <c r="B47" s="184" t="s">
        <v>438</v>
      </c>
      <c r="C47" s="184" t="s">
        <v>439</v>
      </c>
      <c r="D47" s="184" t="s">
        <v>348</v>
      </c>
      <c r="E47" s="183" t="str">
        <f t="shared" si="0"/>
        <v>Donald J Cole</v>
      </c>
    </row>
    <row r="48" spans="2:5" s="183" customFormat="1" ht="13.5" customHeight="1" x14ac:dyDescent="0.2">
      <c r="B48" s="184" t="s">
        <v>440</v>
      </c>
      <c r="C48" s="184" t="s">
        <v>441</v>
      </c>
      <c r="D48" s="184" t="s">
        <v>354</v>
      </c>
      <c r="E48" s="183" t="str">
        <f t="shared" si="0"/>
        <v>Mark A Conlon</v>
      </c>
    </row>
    <row r="49" spans="2:5" s="183" customFormat="1" ht="13.5" customHeight="1" x14ac:dyDescent="0.2">
      <c r="B49" s="184" t="s">
        <v>442</v>
      </c>
      <c r="C49" s="184" t="s">
        <v>369</v>
      </c>
      <c r="D49" s="184" t="s">
        <v>348</v>
      </c>
      <c r="E49" s="183" t="str">
        <f t="shared" si="0"/>
        <v>Christopher J Corbin</v>
      </c>
    </row>
    <row r="50" spans="2:5" s="183" customFormat="1" ht="13.5" customHeight="1" x14ac:dyDescent="0.2">
      <c r="B50" s="184" t="s">
        <v>443</v>
      </c>
      <c r="C50" s="184" t="s">
        <v>444</v>
      </c>
      <c r="D50" s="184" t="s">
        <v>404</v>
      </c>
      <c r="E50" s="183" t="str">
        <f t="shared" si="0"/>
        <v>Andron K Creary</v>
      </c>
    </row>
    <row r="51" spans="2:5" s="183" customFormat="1" ht="13.5" customHeight="1" x14ac:dyDescent="0.2">
      <c r="B51" s="184" t="s">
        <v>445</v>
      </c>
      <c r="C51" s="184" t="s">
        <v>382</v>
      </c>
      <c r="D51" s="184" t="s">
        <v>404</v>
      </c>
      <c r="E51" s="183" t="str">
        <f t="shared" si="0"/>
        <v>Deborah K Cresap</v>
      </c>
    </row>
    <row r="52" spans="2:5" s="183" customFormat="1" ht="13.5" customHeight="1" x14ac:dyDescent="0.2">
      <c r="B52" s="184" t="s">
        <v>446</v>
      </c>
      <c r="C52" s="184" t="s">
        <v>447</v>
      </c>
      <c r="D52" s="184" t="s">
        <v>370</v>
      </c>
      <c r="E52" s="183" t="str">
        <f t="shared" si="0"/>
        <v>Sara D Cunningham</v>
      </c>
    </row>
    <row r="53" spans="2:5" s="183" customFormat="1" ht="13.5" customHeight="1" x14ac:dyDescent="0.2">
      <c r="B53" s="184" t="s">
        <v>448</v>
      </c>
      <c r="C53" s="184" t="s">
        <v>449</v>
      </c>
      <c r="D53" s="184" t="s">
        <v>348</v>
      </c>
      <c r="E53" s="183" t="str">
        <f t="shared" si="0"/>
        <v>Debra J Cuprik</v>
      </c>
    </row>
    <row r="54" spans="2:5" s="183" customFormat="1" ht="13.5" customHeight="1" x14ac:dyDescent="0.2">
      <c r="B54" s="184" t="s">
        <v>450</v>
      </c>
      <c r="C54" s="184" t="s">
        <v>451</v>
      </c>
      <c r="D54" s="184" t="s">
        <v>348</v>
      </c>
      <c r="E54" s="183" t="str">
        <f t="shared" si="0"/>
        <v>Hilary J Curto</v>
      </c>
    </row>
    <row r="55" spans="2:5" s="183" customFormat="1" ht="13.5" customHeight="1" x14ac:dyDescent="0.2">
      <c r="B55" s="184" t="s">
        <v>452</v>
      </c>
      <c r="C55" s="184" t="s">
        <v>453</v>
      </c>
      <c r="D55" s="184" t="s">
        <v>348</v>
      </c>
      <c r="E55" s="183" t="str">
        <f t="shared" si="0"/>
        <v>Anita J Dahlem</v>
      </c>
    </row>
    <row r="56" spans="2:5" s="183" customFormat="1" ht="13.5" customHeight="1" x14ac:dyDescent="0.2">
      <c r="B56" s="184" t="s">
        <v>454</v>
      </c>
      <c r="C56" s="184" t="s">
        <v>455</v>
      </c>
      <c r="D56" s="184" t="s">
        <v>361</v>
      </c>
      <c r="E56" s="183" t="str">
        <f t="shared" si="0"/>
        <v>Frank L Davis</v>
      </c>
    </row>
    <row r="57" spans="2:5" s="183" customFormat="1" ht="13.5" customHeight="1" x14ac:dyDescent="0.2">
      <c r="B57" s="184" t="s">
        <v>454</v>
      </c>
      <c r="C57" s="184" t="s">
        <v>356</v>
      </c>
      <c r="D57" s="184" t="s">
        <v>354</v>
      </c>
      <c r="E57" s="183" t="str">
        <f t="shared" si="0"/>
        <v>Sarah A Davis</v>
      </c>
    </row>
    <row r="58" spans="2:5" s="183" customFormat="1" ht="13.5" customHeight="1" x14ac:dyDescent="0.2">
      <c r="B58" s="184" t="s">
        <v>454</v>
      </c>
      <c r="C58" s="184" t="s">
        <v>456</v>
      </c>
      <c r="D58" s="184" t="s">
        <v>404</v>
      </c>
      <c r="E58" s="183" t="str">
        <f t="shared" si="0"/>
        <v>Shannon K Davis</v>
      </c>
    </row>
    <row r="59" spans="2:5" s="183" customFormat="1" ht="13.5" customHeight="1" x14ac:dyDescent="0.2">
      <c r="B59" s="184" t="s">
        <v>457</v>
      </c>
      <c r="C59" s="184" t="s">
        <v>455</v>
      </c>
      <c r="D59" s="184" t="s">
        <v>361</v>
      </c>
      <c r="E59" s="183" t="str">
        <f t="shared" si="0"/>
        <v>Frank L Decaria</v>
      </c>
    </row>
    <row r="60" spans="2:5" s="183" customFormat="1" ht="13.5" customHeight="1" x14ac:dyDescent="0.2">
      <c r="B60" s="184" t="s">
        <v>458</v>
      </c>
      <c r="C60" s="184" t="s">
        <v>459</v>
      </c>
      <c r="D60" s="184" t="s">
        <v>348</v>
      </c>
      <c r="E60" s="183" t="str">
        <f t="shared" si="0"/>
        <v>Margaret J Decola</v>
      </c>
    </row>
    <row r="61" spans="2:5" s="183" customFormat="1" ht="13.5" customHeight="1" x14ac:dyDescent="0.2">
      <c r="B61" s="184" t="s">
        <v>460</v>
      </c>
      <c r="C61" s="184" t="s">
        <v>461</v>
      </c>
      <c r="D61" s="184" t="s">
        <v>351</v>
      </c>
      <c r="E61" s="183" t="str">
        <f t="shared" si="0"/>
        <v>Shelley M Deluca</v>
      </c>
    </row>
    <row r="62" spans="2:5" s="183" customFormat="1" ht="13.5" customHeight="1" x14ac:dyDescent="0.2">
      <c r="B62" s="184" t="s">
        <v>462</v>
      </c>
      <c r="C62" s="184" t="s">
        <v>463</v>
      </c>
      <c r="D62" s="184" t="s">
        <v>351</v>
      </c>
      <c r="E62" s="183" t="str">
        <f t="shared" si="0"/>
        <v>Jenna M Derrico</v>
      </c>
    </row>
    <row r="63" spans="2:5" s="183" customFormat="1" ht="13.5" customHeight="1" x14ac:dyDescent="0.2">
      <c r="B63" s="184" t="s">
        <v>464</v>
      </c>
      <c r="C63" s="184" t="s">
        <v>465</v>
      </c>
      <c r="D63" s="184" t="s">
        <v>466</v>
      </c>
      <c r="E63" s="183" t="str">
        <f t="shared" si="0"/>
        <v>Paul P Desmond</v>
      </c>
    </row>
    <row r="64" spans="2:5" s="183" customFormat="1" ht="13.5" customHeight="1" x14ac:dyDescent="0.2">
      <c r="B64" s="184" t="s">
        <v>467</v>
      </c>
      <c r="C64" s="184" t="s">
        <v>468</v>
      </c>
      <c r="D64" s="184" t="s">
        <v>348</v>
      </c>
      <c r="E64" s="183" t="str">
        <f t="shared" si="0"/>
        <v>Kirsten J Devine</v>
      </c>
    </row>
    <row r="65" spans="2:5" s="183" customFormat="1" ht="13.5" customHeight="1" x14ac:dyDescent="0.2">
      <c r="B65" s="184" t="s">
        <v>469</v>
      </c>
      <c r="C65" s="184" t="s">
        <v>470</v>
      </c>
      <c r="D65" s="184" t="s">
        <v>354</v>
      </c>
      <c r="E65" s="183" t="str">
        <f t="shared" si="0"/>
        <v>William A Dewhurst</v>
      </c>
    </row>
    <row r="66" spans="2:5" s="183" customFormat="1" ht="13.5" customHeight="1" x14ac:dyDescent="0.2">
      <c r="B66" s="184" t="s">
        <v>471</v>
      </c>
      <c r="C66" s="184" t="s">
        <v>472</v>
      </c>
      <c r="D66" s="184"/>
      <c r="E66" s="183" t="str">
        <f t="shared" si="0"/>
        <v>Reetika Dhawan</v>
      </c>
    </row>
    <row r="67" spans="2:5" s="183" customFormat="1" ht="13.5" customHeight="1" x14ac:dyDescent="0.2">
      <c r="B67" s="184" t="s">
        <v>473</v>
      </c>
      <c r="C67" s="184" t="s">
        <v>411</v>
      </c>
      <c r="D67" s="184" t="s">
        <v>361</v>
      </c>
      <c r="E67" s="183" t="str">
        <f t="shared" ref="E67:E130" si="1">PROPER(C67&amp;IF(D67="",""," "&amp;D67)&amp;" "&amp;B67)</f>
        <v>Kelly L Dlesk</v>
      </c>
    </row>
    <row r="68" spans="2:5" s="183" customFormat="1" ht="13.5" customHeight="1" x14ac:dyDescent="0.2">
      <c r="B68" s="184" t="s">
        <v>474</v>
      </c>
      <c r="C68" s="184" t="s">
        <v>475</v>
      </c>
      <c r="D68" s="184" t="s">
        <v>363</v>
      </c>
      <c r="E68" s="183" t="str">
        <f t="shared" si="1"/>
        <v>Jeremy R Doolin</v>
      </c>
    </row>
    <row r="69" spans="2:5" s="183" customFormat="1" ht="13.5" customHeight="1" x14ac:dyDescent="0.2">
      <c r="B69" s="184" t="s">
        <v>474</v>
      </c>
      <c r="C69" s="184" t="s">
        <v>476</v>
      </c>
      <c r="D69" s="184" t="s">
        <v>351</v>
      </c>
      <c r="E69" s="183" t="str">
        <f t="shared" si="1"/>
        <v>Wendy M Doolin</v>
      </c>
    </row>
    <row r="70" spans="2:5" s="183" customFormat="1" ht="13.5" customHeight="1" x14ac:dyDescent="0.2">
      <c r="B70" s="184" t="s">
        <v>477</v>
      </c>
      <c r="C70" s="184" t="s">
        <v>478</v>
      </c>
      <c r="D70" s="184" t="s">
        <v>363</v>
      </c>
      <c r="E70" s="183" t="str">
        <f t="shared" si="1"/>
        <v>Krsangi R Dove</v>
      </c>
    </row>
    <row r="71" spans="2:5" s="183" customFormat="1" ht="13.5" customHeight="1" x14ac:dyDescent="0.2">
      <c r="B71" s="184" t="s">
        <v>479</v>
      </c>
      <c r="C71" s="184" t="s">
        <v>480</v>
      </c>
      <c r="D71" s="184" t="s">
        <v>348</v>
      </c>
      <c r="E71" s="183" t="str">
        <f t="shared" si="1"/>
        <v>Tammy J Durrah</v>
      </c>
    </row>
    <row r="72" spans="2:5" s="183" customFormat="1" ht="13.5" customHeight="1" x14ac:dyDescent="0.2">
      <c r="B72" s="184" t="s">
        <v>481</v>
      </c>
      <c r="C72" s="184" t="s">
        <v>482</v>
      </c>
      <c r="D72" s="184" t="s">
        <v>376</v>
      </c>
      <c r="E72" s="183" t="str">
        <f t="shared" si="1"/>
        <v>Molly S Dutton</v>
      </c>
    </row>
    <row r="73" spans="2:5" s="183" customFormat="1" ht="13.5" customHeight="1" x14ac:dyDescent="0.2">
      <c r="B73" s="184" t="s">
        <v>483</v>
      </c>
      <c r="C73" s="184" t="s">
        <v>455</v>
      </c>
      <c r="D73" s="184"/>
      <c r="E73" s="183" t="str">
        <f t="shared" si="1"/>
        <v>Frank Duymich</v>
      </c>
    </row>
    <row r="74" spans="2:5" s="183" customFormat="1" ht="13.5" customHeight="1" x14ac:dyDescent="0.2">
      <c r="B74" s="184" t="s">
        <v>484</v>
      </c>
      <c r="C74" s="184" t="s">
        <v>485</v>
      </c>
      <c r="D74" s="184" t="s">
        <v>361</v>
      </c>
      <c r="E74" s="183" t="str">
        <f t="shared" si="1"/>
        <v>Daniel L Eddy</v>
      </c>
    </row>
    <row r="75" spans="2:5" s="183" customFormat="1" ht="13.5" customHeight="1" x14ac:dyDescent="0.2">
      <c r="B75" s="184" t="s">
        <v>486</v>
      </c>
      <c r="C75" s="184" t="s">
        <v>487</v>
      </c>
      <c r="D75" s="184" t="s">
        <v>404</v>
      </c>
      <c r="E75" s="183" t="str">
        <f t="shared" si="1"/>
        <v>Dylan K Edgell</v>
      </c>
    </row>
    <row r="76" spans="2:5" s="183" customFormat="1" ht="13.5" customHeight="1" x14ac:dyDescent="0.2">
      <c r="B76" s="184" t="s">
        <v>488</v>
      </c>
      <c r="C76" s="184" t="s">
        <v>489</v>
      </c>
      <c r="D76" s="184" t="s">
        <v>361</v>
      </c>
      <c r="E76" s="183" t="str">
        <f t="shared" si="1"/>
        <v>Tina L Edwards</v>
      </c>
    </row>
    <row r="77" spans="2:5" s="183" customFormat="1" ht="13.5" customHeight="1" x14ac:dyDescent="0.2">
      <c r="B77" s="184" t="s">
        <v>490</v>
      </c>
      <c r="C77" s="184" t="s">
        <v>491</v>
      </c>
      <c r="D77" s="184" t="s">
        <v>380</v>
      </c>
      <c r="E77" s="183" t="str">
        <f t="shared" si="1"/>
        <v>John T Ellis</v>
      </c>
    </row>
    <row r="78" spans="2:5" s="183" customFormat="1" ht="13.5" customHeight="1" x14ac:dyDescent="0.2">
      <c r="B78" s="184" t="s">
        <v>492</v>
      </c>
      <c r="C78" s="184" t="s">
        <v>493</v>
      </c>
      <c r="D78" s="184" t="s">
        <v>387</v>
      </c>
      <c r="E78" s="183" t="str">
        <f t="shared" si="1"/>
        <v>Jackie E Ely Boyd</v>
      </c>
    </row>
    <row r="79" spans="2:5" s="183" customFormat="1" ht="13.5" customHeight="1" x14ac:dyDescent="0.2">
      <c r="B79" s="184" t="s">
        <v>494</v>
      </c>
      <c r="C79" s="184" t="s">
        <v>495</v>
      </c>
      <c r="D79" s="184" t="s">
        <v>351</v>
      </c>
      <c r="E79" s="183" t="str">
        <f t="shared" si="1"/>
        <v>Eugene M Evans</v>
      </c>
    </row>
    <row r="80" spans="2:5" s="183" customFormat="1" ht="13.5" customHeight="1" x14ac:dyDescent="0.2">
      <c r="B80" s="184" t="s">
        <v>494</v>
      </c>
      <c r="C80" s="184" t="s">
        <v>496</v>
      </c>
      <c r="D80" s="184" t="s">
        <v>361</v>
      </c>
      <c r="E80" s="183" t="str">
        <f t="shared" si="1"/>
        <v>Robin L Evans</v>
      </c>
    </row>
    <row r="81" spans="2:5" s="183" customFormat="1" ht="13.5" customHeight="1" x14ac:dyDescent="0.2">
      <c r="B81" s="184" t="s">
        <v>497</v>
      </c>
      <c r="C81" s="184" t="s">
        <v>498</v>
      </c>
      <c r="D81" s="184" t="s">
        <v>348</v>
      </c>
      <c r="E81" s="183" t="str">
        <f t="shared" si="1"/>
        <v>Ronald J Faldowski</v>
      </c>
    </row>
    <row r="82" spans="2:5" s="183" customFormat="1" ht="13.5" customHeight="1" x14ac:dyDescent="0.2">
      <c r="B82" s="184" t="s">
        <v>499</v>
      </c>
      <c r="C82" s="184" t="s">
        <v>500</v>
      </c>
      <c r="D82" s="184" t="s">
        <v>348</v>
      </c>
      <c r="E82" s="183" t="str">
        <f t="shared" si="1"/>
        <v>Christy J Farnsworth</v>
      </c>
    </row>
    <row r="83" spans="2:5" s="183" customFormat="1" ht="13.5" customHeight="1" x14ac:dyDescent="0.2">
      <c r="B83" s="184" t="s">
        <v>501</v>
      </c>
      <c r="C83" s="184" t="s">
        <v>502</v>
      </c>
      <c r="D83" s="184" t="s">
        <v>361</v>
      </c>
      <c r="E83" s="183" t="str">
        <f t="shared" si="1"/>
        <v>Darcey L Ferrell</v>
      </c>
    </row>
    <row r="84" spans="2:5" s="183" customFormat="1" ht="13.5" customHeight="1" x14ac:dyDescent="0.2">
      <c r="B84" s="184" t="s">
        <v>503</v>
      </c>
      <c r="C84" s="184" t="s">
        <v>504</v>
      </c>
      <c r="D84" s="184" t="s">
        <v>387</v>
      </c>
      <c r="E84" s="183" t="str">
        <f t="shared" si="1"/>
        <v>Rachael E Ferrise</v>
      </c>
    </row>
    <row r="85" spans="2:5" s="183" customFormat="1" ht="13.5" customHeight="1" x14ac:dyDescent="0.2">
      <c r="B85" s="184" t="s">
        <v>505</v>
      </c>
      <c r="C85" s="184" t="s">
        <v>506</v>
      </c>
      <c r="D85" s="184" t="s">
        <v>351</v>
      </c>
      <c r="E85" s="183" t="str">
        <f t="shared" si="1"/>
        <v>Janet M Fike</v>
      </c>
    </row>
    <row r="86" spans="2:5" s="183" customFormat="1" ht="13.5" customHeight="1" x14ac:dyDescent="0.2">
      <c r="B86" s="184" t="s">
        <v>507</v>
      </c>
      <c r="C86" s="184" t="s">
        <v>508</v>
      </c>
      <c r="D86" s="184" t="s">
        <v>354</v>
      </c>
      <c r="E86" s="183" t="str">
        <f t="shared" si="1"/>
        <v>Tye A Forster</v>
      </c>
    </row>
    <row r="87" spans="2:5" s="183" customFormat="1" ht="13.5" customHeight="1" x14ac:dyDescent="0.2">
      <c r="B87" s="184" t="s">
        <v>509</v>
      </c>
      <c r="C87" s="184" t="s">
        <v>510</v>
      </c>
      <c r="D87" s="184" t="s">
        <v>351</v>
      </c>
      <c r="E87" s="183" t="str">
        <f t="shared" si="1"/>
        <v>Cody M Francis</v>
      </c>
    </row>
    <row r="88" spans="2:5" s="183" customFormat="1" ht="13.5" customHeight="1" x14ac:dyDescent="0.2">
      <c r="B88" s="184" t="s">
        <v>511</v>
      </c>
      <c r="C88" s="184" t="s">
        <v>512</v>
      </c>
      <c r="D88" s="184" t="s">
        <v>513</v>
      </c>
      <c r="E88" s="183" t="str">
        <f t="shared" si="1"/>
        <v>Charles W Franks</v>
      </c>
    </row>
    <row r="89" spans="2:5" s="183" customFormat="1" ht="13.5" customHeight="1" x14ac:dyDescent="0.2">
      <c r="B89" s="184" t="s">
        <v>514</v>
      </c>
      <c r="C89" s="184" t="s">
        <v>515</v>
      </c>
      <c r="D89" s="184" t="s">
        <v>376</v>
      </c>
      <c r="E89" s="183" t="str">
        <f t="shared" si="1"/>
        <v>George S Frazier</v>
      </c>
    </row>
    <row r="90" spans="2:5" s="183" customFormat="1" ht="13.5" customHeight="1" x14ac:dyDescent="0.2">
      <c r="B90" s="184" t="s">
        <v>516</v>
      </c>
      <c r="C90" s="184" t="s">
        <v>517</v>
      </c>
      <c r="D90" s="184" t="s">
        <v>351</v>
      </c>
      <c r="E90" s="183" t="str">
        <f t="shared" si="1"/>
        <v>Alicia M Frey</v>
      </c>
    </row>
    <row r="91" spans="2:5" s="183" customFormat="1" ht="13.5" customHeight="1" x14ac:dyDescent="0.2">
      <c r="B91" s="184" t="s">
        <v>518</v>
      </c>
      <c r="C91" s="184" t="s">
        <v>519</v>
      </c>
      <c r="D91" s="184" t="s">
        <v>361</v>
      </c>
      <c r="E91" s="183" t="str">
        <f t="shared" si="1"/>
        <v>Benjamin L Fulton</v>
      </c>
    </row>
    <row r="92" spans="2:5" s="183" customFormat="1" ht="13.5" customHeight="1" x14ac:dyDescent="0.2">
      <c r="B92" s="184" t="s">
        <v>520</v>
      </c>
      <c r="C92" s="184" t="s">
        <v>470</v>
      </c>
      <c r="D92" s="184" t="s">
        <v>387</v>
      </c>
      <c r="E92" s="183" t="str">
        <f t="shared" si="1"/>
        <v>William E Galloway</v>
      </c>
    </row>
    <row r="93" spans="2:5" s="183" customFormat="1" ht="13.5" customHeight="1" x14ac:dyDescent="0.2">
      <c r="B93" s="184" t="s">
        <v>521</v>
      </c>
      <c r="C93" s="184" t="s">
        <v>522</v>
      </c>
      <c r="D93" s="184" t="s">
        <v>351</v>
      </c>
      <c r="E93" s="183" t="str">
        <f t="shared" si="1"/>
        <v>Anna M Gaylor</v>
      </c>
    </row>
    <row r="94" spans="2:5" s="183" customFormat="1" ht="13.5" customHeight="1" x14ac:dyDescent="0.2">
      <c r="B94" s="184" t="s">
        <v>523</v>
      </c>
      <c r="C94" s="184" t="s">
        <v>524</v>
      </c>
      <c r="D94" s="184" t="s">
        <v>348</v>
      </c>
      <c r="E94" s="183" t="str">
        <f t="shared" si="1"/>
        <v>Robert J Gibb</v>
      </c>
    </row>
    <row r="95" spans="2:5" s="183" customFormat="1" ht="13.5" customHeight="1" x14ac:dyDescent="0.2">
      <c r="B95" s="184" t="s">
        <v>525</v>
      </c>
      <c r="C95" s="184" t="s">
        <v>526</v>
      </c>
      <c r="D95" s="184" t="s">
        <v>351</v>
      </c>
      <c r="E95" s="183" t="str">
        <f t="shared" si="1"/>
        <v>Jarred M Gilham</v>
      </c>
    </row>
    <row r="96" spans="2:5" s="183" customFormat="1" ht="13.5" customHeight="1" x14ac:dyDescent="0.2">
      <c r="B96" s="184" t="s">
        <v>527</v>
      </c>
      <c r="C96" s="184" t="s">
        <v>441</v>
      </c>
      <c r="D96" s="184" t="s">
        <v>528</v>
      </c>
      <c r="E96" s="183" t="str">
        <f t="shared" si="1"/>
        <v>Mark I Goldstein</v>
      </c>
    </row>
    <row r="97" spans="2:5" s="183" customFormat="1" ht="13.5" customHeight="1" x14ac:dyDescent="0.2">
      <c r="B97" s="184" t="s">
        <v>529</v>
      </c>
      <c r="C97" s="184" t="s">
        <v>485</v>
      </c>
      <c r="D97" s="184" t="s">
        <v>380</v>
      </c>
      <c r="E97" s="183" t="str">
        <f t="shared" si="1"/>
        <v>Daniel T Gomez</v>
      </c>
    </row>
    <row r="98" spans="2:5" s="183" customFormat="1" ht="13.5" customHeight="1" x14ac:dyDescent="0.2">
      <c r="B98" s="184" t="s">
        <v>530</v>
      </c>
      <c r="C98" s="184" t="s">
        <v>524</v>
      </c>
      <c r="D98" s="184" t="s">
        <v>513</v>
      </c>
      <c r="E98" s="183" t="str">
        <f t="shared" si="1"/>
        <v>Robert W Gracey</v>
      </c>
    </row>
    <row r="99" spans="2:5" s="183" customFormat="1" ht="13.5" customHeight="1" x14ac:dyDescent="0.2">
      <c r="B99" s="184" t="s">
        <v>531</v>
      </c>
      <c r="C99" s="184" t="s">
        <v>532</v>
      </c>
      <c r="D99" s="184" t="s">
        <v>431</v>
      </c>
      <c r="E99" s="183" t="str">
        <f t="shared" si="1"/>
        <v>Elissa C Greathouse</v>
      </c>
    </row>
    <row r="100" spans="2:5" s="183" customFormat="1" ht="13.5" customHeight="1" x14ac:dyDescent="0.2">
      <c r="B100" s="184" t="s">
        <v>533</v>
      </c>
      <c r="C100" s="184" t="s">
        <v>356</v>
      </c>
      <c r="D100" s="184" t="s">
        <v>387</v>
      </c>
      <c r="E100" s="183" t="str">
        <f t="shared" si="1"/>
        <v>Sarah E Griffith</v>
      </c>
    </row>
    <row r="101" spans="2:5" s="183" customFormat="1" ht="13.5" customHeight="1" x14ac:dyDescent="0.2">
      <c r="B101" s="184" t="s">
        <v>534</v>
      </c>
      <c r="C101" s="184" t="s">
        <v>535</v>
      </c>
      <c r="D101" s="184" t="s">
        <v>363</v>
      </c>
      <c r="E101" s="183" t="str">
        <f t="shared" si="1"/>
        <v>Gary R Grysko</v>
      </c>
    </row>
    <row r="102" spans="2:5" s="183" customFormat="1" ht="13.5" customHeight="1" x14ac:dyDescent="0.2">
      <c r="B102" s="184" t="s">
        <v>536</v>
      </c>
      <c r="C102" s="184" t="s">
        <v>491</v>
      </c>
      <c r="D102" s="184" t="s">
        <v>376</v>
      </c>
      <c r="E102" s="183" t="str">
        <f t="shared" si="1"/>
        <v>John S Hafer</v>
      </c>
    </row>
    <row r="103" spans="2:5" s="183" customFormat="1" ht="13.5" customHeight="1" x14ac:dyDescent="0.2">
      <c r="B103" s="184" t="s">
        <v>536</v>
      </c>
      <c r="C103" s="184" t="s">
        <v>537</v>
      </c>
      <c r="D103" s="184" t="s">
        <v>376</v>
      </c>
      <c r="E103" s="183" t="str">
        <f t="shared" si="1"/>
        <v>Megan S Hafer</v>
      </c>
    </row>
    <row r="104" spans="2:5" s="183" customFormat="1" ht="13.5" customHeight="1" x14ac:dyDescent="0.2">
      <c r="B104" s="184" t="s">
        <v>538</v>
      </c>
      <c r="C104" s="184" t="s">
        <v>476</v>
      </c>
      <c r="D104" s="184" t="s">
        <v>354</v>
      </c>
      <c r="E104" s="183" t="str">
        <f t="shared" si="1"/>
        <v>Wendy A Hanasky</v>
      </c>
    </row>
    <row r="105" spans="2:5" s="183" customFormat="1" ht="13.5" customHeight="1" x14ac:dyDescent="0.2">
      <c r="B105" s="184" t="s">
        <v>539</v>
      </c>
      <c r="C105" s="184" t="s">
        <v>540</v>
      </c>
      <c r="D105" s="184" t="s">
        <v>361</v>
      </c>
      <c r="E105" s="183" t="str">
        <f t="shared" si="1"/>
        <v>Crystal L Harbert</v>
      </c>
    </row>
    <row r="106" spans="2:5" s="183" customFormat="1" ht="13.5" customHeight="1" x14ac:dyDescent="0.2">
      <c r="B106" s="184" t="s">
        <v>541</v>
      </c>
      <c r="C106" s="184" t="s">
        <v>491</v>
      </c>
      <c r="D106" s="184" t="s">
        <v>387</v>
      </c>
      <c r="E106" s="183" t="str">
        <f t="shared" si="1"/>
        <v>John E Harris</v>
      </c>
    </row>
    <row r="107" spans="2:5" s="183" customFormat="1" ht="13.5" customHeight="1" x14ac:dyDescent="0.2">
      <c r="B107" s="184" t="s">
        <v>542</v>
      </c>
      <c r="C107" s="184" t="s">
        <v>543</v>
      </c>
      <c r="D107" s="184" t="s">
        <v>351</v>
      </c>
      <c r="E107" s="183" t="str">
        <f t="shared" si="1"/>
        <v>Joan M Harvath</v>
      </c>
    </row>
    <row r="108" spans="2:5" s="183" customFormat="1" ht="13.5" customHeight="1" x14ac:dyDescent="0.2">
      <c r="B108" s="184" t="s">
        <v>544</v>
      </c>
      <c r="C108" s="184" t="s">
        <v>545</v>
      </c>
      <c r="D108" s="184" t="s">
        <v>361</v>
      </c>
      <c r="E108" s="183" t="str">
        <f t="shared" si="1"/>
        <v>Sheri L Harvey</v>
      </c>
    </row>
    <row r="109" spans="2:5" s="183" customFormat="1" ht="13.5" customHeight="1" x14ac:dyDescent="0.2">
      <c r="B109" s="184" t="s">
        <v>546</v>
      </c>
      <c r="C109" s="184" t="s">
        <v>547</v>
      </c>
      <c r="D109" s="184" t="s">
        <v>387</v>
      </c>
      <c r="E109" s="183" t="str">
        <f t="shared" si="1"/>
        <v>Kimyetta E Hayden</v>
      </c>
    </row>
    <row r="110" spans="2:5" s="183" customFormat="1" ht="13.5" customHeight="1" x14ac:dyDescent="0.2">
      <c r="B110" s="184" t="s">
        <v>548</v>
      </c>
      <c r="C110" s="184" t="s">
        <v>367</v>
      </c>
      <c r="D110" s="184" t="s">
        <v>431</v>
      </c>
      <c r="E110" s="183" t="str">
        <f t="shared" si="1"/>
        <v>David C Hays</v>
      </c>
    </row>
    <row r="111" spans="2:5" s="183" customFormat="1" ht="13.5" customHeight="1" x14ac:dyDescent="0.2">
      <c r="B111" s="184" t="s">
        <v>549</v>
      </c>
      <c r="C111" s="184" t="s">
        <v>550</v>
      </c>
      <c r="D111" s="184" t="s">
        <v>361</v>
      </c>
      <c r="E111" s="183" t="str">
        <f t="shared" si="1"/>
        <v>Judi L Hendrickson</v>
      </c>
    </row>
    <row r="112" spans="2:5" s="183" customFormat="1" ht="13.5" customHeight="1" x14ac:dyDescent="0.2">
      <c r="B112" s="184" t="s">
        <v>551</v>
      </c>
      <c r="C112" s="184" t="s">
        <v>552</v>
      </c>
      <c r="D112" s="184" t="s">
        <v>361</v>
      </c>
      <c r="E112" s="183" t="str">
        <f t="shared" si="1"/>
        <v>Kathleen L Herrington</v>
      </c>
    </row>
    <row r="113" spans="2:5" s="183" customFormat="1" ht="13.5" customHeight="1" x14ac:dyDescent="0.2">
      <c r="B113" s="184" t="s">
        <v>553</v>
      </c>
      <c r="C113" s="184" t="s">
        <v>554</v>
      </c>
      <c r="D113" s="184" t="s">
        <v>348</v>
      </c>
      <c r="E113" s="183" t="str">
        <f t="shared" si="1"/>
        <v>Tamara J Hess</v>
      </c>
    </row>
    <row r="114" spans="2:5" s="183" customFormat="1" ht="13.5" customHeight="1" x14ac:dyDescent="0.2">
      <c r="B114" s="184" t="s">
        <v>555</v>
      </c>
      <c r="C114" s="184" t="s">
        <v>556</v>
      </c>
      <c r="D114" s="184" t="s">
        <v>370</v>
      </c>
      <c r="E114" s="183" t="str">
        <f t="shared" si="1"/>
        <v>Curtis D Hippensteel</v>
      </c>
    </row>
    <row r="115" spans="2:5" s="183" customFormat="1" ht="13.5" customHeight="1" x14ac:dyDescent="0.2">
      <c r="B115" s="184" t="s">
        <v>555</v>
      </c>
      <c r="C115" s="184" t="s">
        <v>557</v>
      </c>
      <c r="D115" s="184" t="s">
        <v>361</v>
      </c>
      <c r="E115" s="183" t="str">
        <f t="shared" si="1"/>
        <v>Terri L Hippensteel</v>
      </c>
    </row>
    <row r="116" spans="2:5" s="183" customFormat="1" ht="13.5" customHeight="1" x14ac:dyDescent="0.2">
      <c r="B116" s="184" t="s">
        <v>558</v>
      </c>
      <c r="C116" s="184" t="s">
        <v>517</v>
      </c>
      <c r="D116" s="184" t="s">
        <v>351</v>
      </c>
      <c r="E116" s="183" t="str">
        <f t="shared" si="1"/>
        <v>Alicia M Holk</v>
      </c>
    </row>
    <row r="117" spans="2:5" s="183" customFormat="1" ht="13.5" customHeight="1" x14ac:dyDescent="0.2">
      <c r="B117" s="184" t="s">
        <v>559</v>
      </c>
      <c r="C117" s="184" t="s">
        <v>560</v>
      </c>
      <c r="D117" s="184" t="s">
        <v>354</v>
      </c>
      <c r="E117" s="183" t="str">
        <f t="shared" si="1"/>
        <v>Paige A Holt</v>
      </c>
    </row>
    <row r="118" spans="2:5" s="183" customFormat="1" ht="13.5" customHeight="1" x14ac:dyDescent="0.2">
      <c r="B118" s="184" t="s">
        <v>561</v>
      </c>
      <c r="C118" s="184" t="s">
        <v>562</v>
      </c>
      <c r="D118" s="184" t="s">
        <v>361</v>
      </c>
      <c r="E118" s="183" t="str">
        <f t="shared" si="1"/>
        <v>Theresa L Hoskins</v>
      </c>
    </row>
    <row r="119" spans="2:5" s="183" customFormat="1" ht="13.5" customHeight="1" x14ac:dyDescent="0.2">
      <c r="B119" s="184" t="s">
        <v>563</v>
      </c>
      <c r="C119" s="184" t="s">
        <v>564</v>
      </c>
      <c r="D119" s="184" t="s">
        <v>348</v>
      </c>
      <c r="E119" s="183" t="str">
        <f t="shared" si="1"/>
        <v>Douglas J Howell</v>
      </c>
    </row>
    <row r="120" spans="2:5" s="183" customFormat="1" ht="13.5" customHeight="1" x14ac:dyDescent="0.2">
      <c r="B120" s="184" t="s">
        <v>565</v>
      </c>
      <c r="C120" s="184" t="s">
        <v>566</v>
      </c>
      <c r="D120" s="184" t="s">
        <v>567</v>
      </c>
      <c r="E120" s="183" t="str">
        <f t="shared" si="1"/>
        <v>Clarissa Y Huff</v>
      </c>
    </row>
    <row r="121" spans="2:5" s="183" customFormat="1" ht="13.5" customHeight="1" x14ac:dyDescent="0.2">
      <c r="B121" s="184" t="s">
        <v>568</v>
      </c>
      <c r="C121" s="184" t="s">
        <v>393</v>
      </c>
      <c r="D121" s="184" t="s">
        <v>348</v>
      </c>
      <c r="E121" s="183" t="str">
        <f t="shared" si="1"/>
        <v>Dana J Indermuhle</v>
      </c>
    </row>
    <row r="122" spans="2:5" s="183" customFormat="1" ht="13.5" customHeight="1" x14ac:dyDescent="0.2">
      <c r="B122" s="184" t="s">
        <v>569</v>
      </c>
      <c r="C122" s="184" t="s">
        <v>570</v>
      </c>
      <c r="D122" s="184" t="s">
        <v>361</v>
      </c>
      <c r="E122" s="183" t="str">
        <f t="shared" si="1"/>
        <v>Victor L Jackson</v>
      </c>
    </row>
    <row r="123" spans="2:5" s="183" customFormat="1" ht="13.5" customHeight="1" x14ac:dyDescent="0.2">
      <c r="B123" s="184" t="s">
        <v>571</v>
      </c>
      <c r="C123" s="184" t="s">
        <v>572</v>
      </c>
      <c r="D123" s="184" t="s">
        <v>354</v>
      </c>
      <c r="E123" s="183" t="str">
        <f t="shared" si="1"/>
        <v>Tracy A Jenkins</v>
      </c>
    </row>
    <row r="124" spans="2:5" s="183" customFormat="1" ht="13.5" customHeight="1" x14ac:dyDescent="0.2">
      <c r="B124" s="184" t="s">
        <v>573</v>
      </c>
      <c r="C124" s="184" t="s">
        <v>574</v>
      </c>
      <c r="D124" s="184" t="s">
        <v>348</v>
      </c>
      <c r="E124" s="183" t="str">
        <f t="shared" si="1"/>
        <v>Mellisa J Johns</v>
      </c>
    </row>
    <row r="125" spans="2:5" s="183" customFormat="1" ht="13.5" customHeight="1" x14ac:dyDescent="0.2">
      <c r="B125" s="184" t="s">
        <v>575</v>
      </c>
      <c r="C125" s="184" t="s">
        <v>576</v>
      </c>
      <c r="D125" s="184" t="s">
        <v>351</v>
      </c>
      <c r="E125" s="183" t="str">
        <f t="shared" si="1"/>
        <v>Judith M Johnston</v>
      </c>
    </row>
    <row r="126" spans="2:5" s="183" customFormat="1" ht="13.5" customHeight="1" x14ac:dyDescent="0.2">
      <c r="B126" s="184" t="s">
        <v>577</v>
      </c>
      <c r="C126" s="184" t="s">
        <v>578</v>
      </c>
      <c r="D126" s="184" t="s">
        <v>354</v>
      </c>
      <c r="E126" s="183" t="str">
        <f t="shared" si="1"/>
        <v>Scott A Jones</v>
      </c>
    </row>
    <row r="127" spans="2:5" s="183" customFormat="1" ht="13.5" customHeight="1" x14ac:dyDescent="0.2">
      <c r="B127" s="184" t="s">
        <v>579</v>
      </c>
      <c r="C127" s="184" t="s">
        <v>580</v>
      </c>
      <c r="D127" s="184" t="s">
        <v>354</v>
      </c>
      <c r="E127" s="183" t="str">
        <f t="shared" si="1"/>
        <v>Nicholas A Jordan</v>
      </c>
    </row>
    <row r="128" spans="2:5" s="183" customFormat="1" ht="13.5" customHeight="1" x14ac:dyDescent="0.2">
      <c r="B128" s="184" t="s">
        <v>581</v>
      </c>
      <c r="C128" s="184" t="s">
        <v>582</v>
      </c>
      <c r="D128" s="184" t="s">
        <v>370</v>
      </c>
      <c r="E128" s="183" t="str">
        <f t="shared" si="1"/>
        <v>Misty D Kahl</v>
      </c>
    </row>
    <row r="129" spans="2:5" s="183" customFormat="1" ht="13.5" customHeight="1" x14ac:dyDescent="0.2">
      <c r="B129" s="184" t="s">
        <v>583</v>
      </c>
      <c r="C129" s="184" t="s">
        <v>584</v>
      </c>
      <c r="D129" s="184"/>
      <c r="E129" s="183" t="str">
        <f t="shared" si="1"/>
        <v>Heather Kalb</v>
      </c>
    </row>
    <row r="130" spans="2:5" s="183" customFormat="1" ht="13.5" customHeight="1" x14ac:dyDescent="0.2">
      <c r="B130" s="184" t="s">
        <v>585</v>
      </c>
      <c r="C130" s="184" t="s">
        <v>586</v>
      </c>
      <c r="D130" s="184" t="s">
        <v>348</v>
      </c>
      <c r="E130" s="183" t="str">
        <f t="shared" si="1"/>
        <v>Laura J Kane</v>
      </c>
    </row>
    <row r="131" spans="2:5" s="183" customFormat="1" ht="13.5" customHeight="1" x14ac:dyDescent="0.2">
      <c r="B131" s="184" t="s">
        <v>587</v>
      </c>
      <c r="C131" s="184" t="s">
        <v>353</v>
      </c>
      <c r="D131" s="184" t="s">
        <v>361</v>
      </c>
      <c r="E131" s="183" t="str">
        <f t="shared" ref="E131:E194" si="2">PROPER(C131&amp;IF(D131="",""," "&amp;D131)&amp;" "&amp;B131)</f>
        <v>Stephanie L Kappel</v>
      </c>
    </row>
    <row r="132" spans="2:5" s="183" customFormat="1" ht="13.5" customHeight="1" x14ac:dyDescent="0.2">
      <c r="B132" s="184" t="s">
        <v>588</v>
      </c>
      <c r="C132" s="184" t="s">
        <v>586</v>
      </c>
      <c r="D132" s="184" t="s">
        <v>431</v>
      </c>
      <c r="E132" s="183" t="str">
        <f t="shared" si="2"/>
        <v>Laura C Kastenbauer</v>
      </c>
    </row>
    <row r="133" spans="2:5" s="183" customFormat="1" ht="13.5" customHeight="1" x14ac:dyDescent="0.2">
      <c r="B133" s="184" t="s">
        <v>589</v>
      </c>
      <c r="C133" s="184" t="s">
        <v>590</v>
      </c>
      <c r="D133" s="184" t="s">
        <v>387</v>
      </c>
      <c r="E133" s="183" t="str">
        <f t="shared" si="2"/>
        <v>Christian E Kefauver</v>
      </c>
    </row>
    <row r="134" spans="2:5" s="183" customFormat="1" ht="13.5" customHeight="1" x14ac:dyDescent="0.2">
      <c r="B134" s="184" t="s">
        <v>589</v>
      </c>
      <c r="C134" s="184" t="s">
        <v>591</v>
      </c>
      <c r="D134" s="184" t="s">
        <v>592</v>
      </c>
      <c r="E134" s="183" t="str">
        <f t="shared" si="2"/>
        <v>Lucy G Kefauver</v>
      </c>
    </row>
    <row r="135" spans="2:5" s="183" customFormat="1" ht="13.5" customHeight="1" x14ac:dyDescent="0.2">
      <c r="B135" s="184" t="s">
        <v>593</v>
      </c>
      <c r="C135" s="184" t="s">
        <v>594</v>
      </c>
      <c r="D135" s="184" t="s">
        <v>348</v>
      </c>
      <c r="E135" s="183" t="str">
        <f t="shared" si="2"/>
        <v>Gust J Kepreos</v>
      </c>
    </row>
    <row r="136" spans="2:5" s="183" customFormat="1" ht="13.5" customHeight="1" x14ac:dyDescent="0.2">
      <c r="B136" s="184" t="s">
        <v>595</v>
      </c>
      <c r="C136" s="184" t="s">
        <v>596</v>
      </c>
      <c r="D136" s="184" t="s">
        <v>363</v>
      </c>
      <c r="E136" s="183" t="str">
        <f t="shared" si="2"/>
        <v>Patrick R Kerns</v>
      </c>
    </row>
    <row r="137" spans="2:5" s="183" customFormat="1" ht="13.5" customHeight="1" x14ac:dyDescent="0.2">
      <c r="B137" s="184" t="s">
        <v>597</v>
      </c>
      <c r="C137" s="184" t="s">
        <v>598</v>
      </c>
      <c r="D137" s="184" t="s">
        <v>361</v>
      </c>
      <c r="E137" s="183" t="str">
        <f t="shared" si="2"/>
        <v>Jill L Keyser</v>
      </c>
    </row>
    <row r="138" spans="2:5" s="183" customFormat="1" ht="13.5" customHeight="1" x14ac:dyDescent="0.2">
      <c r="B138" s="184" t="s">
        <v>599</v>
      </c>
      <c r="C138" s="184" t="s">
        <v>600</v>
      </c>
      <c r="D138" s="184" t="s">
        <v>361</v>
      </c>
      <c r="E138" s="183" t="str">
        <f t="shared" si="2"/>
        <v>Brandy L Killeen</v>
      </c>
    </row>
    <row r="139" spans="2:5" s="183" customFormat="1" ht="13.5" customHeight="1" x14ac:dyDescent="0.2">
      <c r="B139" s="184" t="s">
        <v>601</v>
      </c>
      <c r="C139" s="184" t="s">
        <v>602</v>
      </c>
      <c r="D139" s="184" t="s">
        <v>363</v>
      </c>
      <c r="E139" s="183" t="str">
        <f t="shared" si="2"/>
        <v>Jessica R Kimberly</v>
      </c>
    </row>
    <row r="140" spans="2:5" s="183" customFormat="1" ht="13.5" customHeight="1" x14ac:dyDescent="0.2">
      <c r="B140" s="184" t="s">
        <v>603</v>
      </c>
      <c r="C140" s="184" t="s">
        <v>604</v>
      </c>
      <c r="D140" s="184" t="s">
        <v>361</v>
      </c>
      <c r="E140" s="183" t="str">
        <f t="shared" si="2"/>
        <v>Jeffrey L Kimes</v>
      </c>
    </row>
    <row r="141" spans="2:5" s="183" customFormat="1" ht="13.5" customHeight="1" x14ac:dyDescent="0.2">
      <c r="B141" s="184" t="s">
        <v>605</v>
      </c>
      <c r="C141" s="184" t="s">
        <v>606</v>
      </c>
      <c r="D141" s="184" t="s">
        <v>351</v>
      </c>
      <c r="E141" s="183" t="str">
        <f t="shared" si="2"/>
        <v>Teann M King</v>
      </c>
    </row>
    <row r="142" spans="2:5" s="183" customFormat="1" ht="13.5" customHeight="1" x14ac:dyDescent="0.2">
      <c r="B142" s="184" t="s">
        <v>607</v>
      </c>
      <c r="C142" s="184" t="s">
        <v>367</v>
      </c>
      <c r="D142" s="184" t="s">
        <v>354</v>
      </c>
      <c r="E142" s="183" t="str">
        <f t="shared" si="2"/>
        <v>David A Kingry</v>
      </c>
    </row>
    <row r="143" spans="2:5" s="183" customFormat="1" ht="13.5" customHeight="1" x14ac:dyDescent="0.2">
      <c r="B143" s="184" t="s">
        <v>608</v>
      </c>
      <c r="C143" s="184" t="s">
        <v>609</v>
      </c>
      <c r="D143" s="184" t="s">
        <v>376</v>
      </c>
      <c r="E143" s="183" t="str">
        <f t="shared" si="2"/>
        <v>Anthony S Kinyo</v>
      </c>
    </row>
    <row r="144" spans="2:5" s="183" customFormat="1" ht="13.5" customHeight="1" x14ac:dyDescent="0.2">
      <c r="B144" s="184" t="s">
        <v>610</v>
      </c>
      <c r="C144" s="184" t="s">
        <v>557</v>
      </c>
      <c r="D144" s="184" t="s">
        <v>361</v>
      </c>
      <c r="E144" s="183" t="str">
        <f t="shared" si="2"/>
        <v>Terri L Klepack</v>
      </c>
    </row>
    <row r="145" spans="2:5" s="183" customFormat="1" ht="13.5" customHeight="1" x14ac:dyDescent="0.2">
      <c r="B145" s="184" t="s">
        <v>611</v>
      </c>
      <c r="C145" s="184" t="s">
        <v>612</v>
      </c>
      <c r="D145" s="184" t="s">
        <v>361</v>
      </c>
      <c r="E145" s="183" t="str">
        <f t="shared" si="2"/>
        <v>Adi L Kline</v>
      </c>
    </row>
    <row r="146" spans="2:5" s="183" customFormat="1" ht="13.5" customHeight="1" x14ac:dyDescent="0.2">
      <c r="B146" s="184" t="s">
        <v>613</v>
      </c>
      <c r="C146" s="184" t="s">
        <v>614</v>
      </c>
      <c r="D146" s="184" t="s">
        <v>354</v>
      </c>
      <c r="E146" s="183" t="str">
        <f t="shared" si="2"/>
        <v>Julie A Kloss</v>
      </c>
    </row>
    <row r="147" spans="2:5" s="183" customFormat="1" ht="13.5" customHeight="1" x14ac:dyDescent="0.2">
      <c r="B147" s="184" t="s">
        <v>615</v>
      </c>
      <c r="C147" s="184" t="s">
        <v>616</v>
      </c>
      <c r="D147" s="184" t="s">
        <v>363</v>
      </c>
      <c r="E147" s="183" t="str">
        <f t="shared" si="2"/>
        <v>Elisha R Knight</v>
      </c>
    </row>
    <row r="148" spans="2:5" s="183" customFormat="1" ht="13.5" customHeight="1" x14ac:dyDescent="0.2">
      <c r="B148" s="184" t="s">
        <v>615</v>
      </c>
      <c r="C148" s="184" t="s">
        <v>617</v>
      </c>
      <c r="D148" s="184" t="s">
        <v>348</v>
      </c>
      <c r="E148" s="183" t="str">
        <f t="shared" si="2"/>
        <v>Paula J Knight</v>
      </c>
    </row>
    <row r="149" spans="2:5" s="183" customFormat="1" ht="13.5" customHeight="1" x14ac:dyDescent="0.2">
      <c r="B149" s="184" t="s">
        <v>618</v>
      </c>
      <c r="C149" s="184" t="s">
        <v>619</v>
      </c>
      <c r="D149" s="184" t="s">
        <v>404</v>
      </c>
      <c r="E149" s="183" t="str">
        <f t="shared" si="2"/>
        <v>Kenneth K Knox</v>
      </c>
    </row>
    <row r="150" spans="2:5" s="183" customFormat="1" ht="13.5" customHeight="1" x14ac:dyDescent="0.2">
      <c r="B150" s="184" t="s">
        <v>620</v>
      </c>
      <c r="C150" s="184" t="s">
        <v>621</v>
      </c>
      <c r="D150" s="184" t="s">
        <v>380</v>
      </c>
      <c r="E150" s="183" t="str">
        <f t="shared" si="2"/>
        <v>Michael T Kooken</v>
      </c>
    </row>
    <row r="151" spans="2:5" s="183" customFormat="1" ht="13.5" customHeight="1" x14ac:dyDescent="0.2">
      <c r="B151" s="184" t="s">
        <v>622</v>
      </c>
      <c r="C151" s="184" t="s">
        <v>348</v>
      </c>
      <c r="D151" s="184" t="s">
        <v>621</v>
      </c>
      <c r="E151" s="183" t="str">
        <f t="shared" si="2"/>
        <v>J Michael Koon</v>
      </c>
    </row>
    <row r="152" spans="2:5" s="183" customFormat="1" ht="13.5" customHeight="1" x14ac:dyDescent="0.2">
      <c r="B152" s="184" t="s">
        <v>623</v>
      </c>
      <c r="C152" s="184" t="s">
        <v>624</v>
      </c>
      <c r="D152" s="184" t="s">
        <v>348</v>
      </c>
      <c r="E152" s="183" t="str">
        <f t="shared" si="2"/>
        <v>Elise J Koski</v>
      </c>
    </row>
    <row r="153" spans="2:5" s="183" customFormat="1" ht="13.5" customHeight="1" x14ac:dyDescent="0.2">
      <c r="B153" s="184" t="s">
        <v>625</v>
      </c>
      <c r="C153" s="184" t="s">
        <v>626</v>
      </c>
      <c r="D153" s="184" t="s">
        <v>412</v>
      </c>
      <c r="E153" s="183" t="str">
        <f t="shared" si="2"/>
        <v>Natasha N Kowalczyk</v>
      </c>
    </row>
    <row r="154" spans="2:5" s="183" customFormat="1" ht="13.5" customHeight="1" x14ac:dyDescent="0.2">
      <c r="B154" s="184" t="s">
        <v>627</v>
      </c>
      <c r="C154" s="184" t="s">
        <v>628</v>
      </c>
      <c r="D154" s="184" t="s">
        <v>387</v>
      </c>
      <c r="E154" s="183" t="str">
        <f t="shared" si="2"/>
        <v>Kurt E Kowalski</v>
      </c>
    </row>
    <row r="155" spans="2:5" s="183" customFormat="1" ht="13.5" customHeight="1" x14ac:dyDescent="0.2">
      <c r="B155" s="184" t="s">
        <v>629</v>
      </c>
      <c r="C155" s="184" t="s">
        <v>630</v>
      </c>
      <c r="D155" s="184" t="s">
        <v>370</v>
      </c>
      <c r="E155" s="183" t="str">
        <f t="shared" si="2"/>
        <v>Peter D Kozdras</v>
      </c>
    </row>
    <row r="156" spans="2:5" s="183" customFormat="1" ht="13.5" customHeight="1" x14ac:dyDescent="0.2">
      <c r="B156" s="184" t="s">
        <v>631</v>
      </c>
      <c r="C156" s="184" t="s">
        <v>632</v>
      </c>
      <c r="D156" s="184" t="s">
        <v>348</v>
      </c>
      <c r="E156" s="183" t="str">
        <f t="shared" si="2"/>
        <v>Jennifer J Kriechbaum</v>
      </c>
    </row>
    <row r="157" spans="2:5" s="183" customFormat="1" ht="13.5" customHeight="1" x14ac:dyDescent="0.2">
      <c r="B157" s="184" t="s">
        <v>633</v>
      </c>
      <c r="C157" s="184" t="s">
        <v>634</v>
      </c>
      <c r="D157" s="184" t="s">
        <v>528</v>
      </c>
      <c r="E157" s="183" t="str">
        <f t="shared" si="2"/>
        <v>Arlene I Kuca</v>
      </c>
    </row>
    <row r="158" spans="2:5" s="183" customFormat="1" ht="13.5" customHeight="1" x14ac:dyDescent="0.2">
      <c r="B158" s="184" t="s">
        <v>635</v>
      </c>
      <c r="C158" s="184" t="s">
        <v>636</v>
      </c>
      <c r="D158" s="184"/>
      <c r="E158" s="183" t="str">
        <f t="shared" si="2"/>
        <v>Aimee Lannis</v>
      </c>
    </row>
    <row r="159" spans="2:5" s="183" customFormat="1" ht="13.5" customHeight="1" x14ac:dyDescent="0.2">
      <c r="B159" s="184" t="s">
        <v>637</v>
      </c>
      <c r="C159" s="184" t="s">
        <v>632</v>
      </c>
      <c r="D159" s="184" t="s">
        <v>361</v>
      </c>
      <c r="E159" s="183" t="str">
        <f t="shared" si="2"/>
        <v>Jennifer L Lantz</v>
      </c>
    </row>
    <row r="160" spans="2:5" s="183" customFormat="1" ht="13.5" customHeight="1" x14ac:dyDescent="0.2">
      <c r="B160" s="184" t="s">
        <v>637</v>
      </c>
      <c r="C160" s="184" t="s">
        <v>491</v>
      </c>
      <c r="D160" s="184" t="s">
        <v>370</v>
      </c>
      <c r="E160" s="183" t="str">
        <f t="shared" si="2"/>
        <v>John D Lantz</v>
      </c>
    </row>
    <row r="161" spans="2:5" s="183" customFormat="1" ht="13.5" customHeight="1" x14ac:dyDescent="0.2">
      <c r="B161" s="184" t="s">
        <v>638</v>
      </c>
      <c r="C161" s="184" t="s">
        <v>621</v>
      </c>
      <c r="D161" s="184" t="s">
        <v>370</v>
      </c>
      <c r="E161" s="183" t="str">
        <f t="shared" si="2"/>
        <v>Michael D Lawson</v>
      </c>
    </row>
    <row r="162" spans="2:5" s="183" customFormat="1" ht="13.5" customHeight="1" x14ac:dyDescent="0.2">
      <c r="B162" s="184" t="s">
        <v>639</v>
      </c>
      <c r="C162" s="184" t="s">
        <v>640</v>
      </c>
      <c r="D162" s="184"/>
      <c r="E162" s="183" t="str">
        <f t="shared" si="2"/>
        <v>Said Leghlid</v>
      </c>
    </row>
    <row r="163" spans="2:5" s="183" customFormat="1" ht="13.5" customHeight="1" x14ac:dyDescent="0.2">
      <c r="B163" s="184" t="s">
        <v>641</v>
      </c>
      <c r="C163" s="184" t="s">
        <v>470</v>
      </c>
      <c r="D163" s="184" t="s">
        <v>376</v>
      </c>
      <c r="E163" s="183" t="str">
        <f t="shared" si="2"/>
        <v>William S Lemley</v>
      </c>
    </row>
    <row r="164" spans="2:5" s="183" customFormat="1" ht="13.5" customHeight="1" x14ac:dyDescent="0.2">
      <c r="B164" s="184" t="s">
        <v>642</v>
      </c>
      <c r="C164" s="184" t="s">
        <v>470</v>
      </c>
      <c r="D164" s="184" t="s">
        <v>351</v>
      </c>
      <c r="E164" s="183" t="str">
        <f t="shared" si="2"/>
        <v>William M Lemon</v>
      </c>
    </row>
    <row r="165" spans="2:5" s="183" customFormat="1" ht="13.5" customHeight="1" x14ac:dyDescent="0.2">
      <c r="B165" s="184" t="s">
        <v>643</v>
      </c>
      <c r="C165" s="184" t="s">
        <v>598</v>
      </c>
      <c r="D165" s="184" t="s">
        <v>361</v>
      </c>
      <c r="E165" s="183" t="str">
        <f t="shared" si="2"/>
        <v>Jill L Loveless</v>
      </c>
    </row>
    <row r="166" spans="2:5" s="183" customFormat="1" ht="13.5" customHeight="1" x14ac:dyDescent="0.2">
      <c r="B166" s="184" t="s">
        <v>644</v>
      </c>
      <c r="C166" s="184" t="s">
        <v>645</v>
      </c>
      <c r="D166" s="184" t="s">
        <v>592</v>
      </c>
      <c r="E166" s="183" t="str">
        <f t="shared" si="2"/>
        <v>Andrew G Lucas</v>
      </c>
    </row>
    <row r="167" spans="2:5" s="183" customFormat="1" ht="13.5" customHeight="1" x14ac:dyDescent="0.2">
      <c r="B167" s="184" t="s">
        <v>644</v>
      </c>
      <c r="C167" s="184" t="s">
        <v>384</v>
      </c>
      <c r="D167" s="184" t="s">
        <v>354</v>
      </c>
      <c r="E167" s="183" t="str">
        <f t="shared" si="2"/>
        <v>Michelle A Lucas</v>
      </c>
    </row>
    <row r="168" spans="2:5" s="183" customFormat="1" ht="13.5" customHeight="1" x14ac:dyDescent="0.2">
      <c r="B168" s="184" t="s">
        <v>646</v>
      </c>
      <c r="C168" s="184" t="s">
        <v>647</v>
      </c>
      <c r="D168" s="184" t="s">
        <v>361</v>
      </c>
      <c r="E168" s="183" t="str">
        <f t="shared" si="2"/>
        <v>Casey L Lyons</v>
      </c>
    </row>
    <row r="169" spans="2:5" s="183" customFormat="1" ht="13.5" customHeight="1" x14ac:dyDescent="0.2">
      <c r="B169" s="184" t="s">
        <v>646</v>
      </c>
      <c r="C169" s="184" t="s">
        <v>648</v>
      </c>
      <c r="D169" s="184" t="s">
        <v>351</v>
      </c>
      <c r="E169" s="183" t="str">
        <f t="shared" si="2"/>
        <v>Rita M Lyons</v>
      </c>
    </row>
    <row r="170" spans="2:5" s="183" customFormat="1" ht="13.5" customHeight="1" x14ac:dyDescent="0.2">
      <c r="B170" s="184" t="s">
        <v>649</v>
      </c>
      <c r="C170" s="184" t="s">
        <v>650</v>
      </c>
      <c r="D170" s="184" t="s">
        <v>348</v>
      </c>
      <c r="E170" s="183" t="str">
        <f t="shared" si="2"/>
        <v>Tyler J Mannion</v>
      </c>
    </row>
    <row r="171" spans="2:5" s="183" customFormat="1" ht="13.5" customHeight="1" x14ac:dyDescent="0.2">
      <c r="B171" s="184" t="s">
        <v>651</v>
      </c>
      <c r="C171" s="184" t="s">
        <v>652</v>
      </c>
      <c r="D171" s="184" t="s">
        <v>363</v>
      </c>
      <c r="E171" s="183" t="str">
        <f t="shared" si="2"/>
        <v>Nicole R Manuel</v>
      </c>
    </row>
    <row r="172" spans="2:5" s="183" customFormat="1" ht="13.5" customHeight="1" x14ac:dyDescent="0.2">
      <c r="B172" s="184" t="s">
        <v>653</v>
      </c>
      <c r="C172" s="184" t="s">
        <v>654</v>
      </c>
      <c r="D172" s="184" t="s">
        <v>431</v>
      </c>
      <c r="E172" s="183" t="str">
        <f t="shared" si="2"/>
        <v>Patricia C Marker</v>
      </c>
    </row>
    <row r="173" spans="2:5" s="183" customFormat="1" ht="13.5" customHeight="1" x14ac:dyDescent="0.2">
      <c r="B173" s="184" t="s">
        <v>655</v>
      </c>
      <c r="C173" s="184" t="s">
        <v>656</v>
      </c>
      <c r="D173" s="184" t="s">
        <v>354</v>
      </c>
      <c r="E173" s="183" t="str">
        <f t="shared" si="2"/>
        <v>Mary A Marlin</v>
      </c>
    </row>
    <row r="174" spans="2:5" s="183" customFormat="1" ht="13.5" customHeight="1" x14ac:dyDescent="0.2">
      <c r="B174" s="184" t="s">
        <v>657</v>
      </c>
      <c r="C174" s="184" t="s">
        <v>658</v>
      </c>
      <c r="D174" s="184" t="s">
        <v>513</v>
      </c>
      <c r="E174" s="183" t="str">
        <f t="shared" si="2"/>
        <v>Craig W Mason</v>
      </c>
    </row>
    <row r="175" spans="2:5" s="183" customFormat="1" ht="13.5" customHeight="1" x14ac:dyDescent="0.2">
      <c r="B175" s="184" t="s">
        <v>659</v>
      </c>
      <c r="C175" s="184" t="s">
        <v>660</v>
      </c>
      <c r="D175" s="184" t="s">
        <v>361</v>
      </c>
      <c r="E175" s="183" t="str">
        <f t="shared" si="2"/>
        <v>Kristina L Matyskiela</v>
      </c>
    </row>
    <row r="176" spans="2:5" s="183" customFormat="1" ht="13.5" customHeight="1" x14ac:dyDescent="0.2">
      <c r="B176" s="184" t="s">
        <v>661</v>
      </c>
      <c r="C176" s="184" t="s">
        <v>662</v>
      </c>
      <c r="D176" s="184" t="s">
        <v>351</v>
      </c>
      <c r="E176" s="183" t="str">
        <f t="shared" si="2"/>
        <v>Ardell M Mayhugh</v>
      </c>
    </row>
    <row r="177" spans="2:5" s="183" customFormat="1" ht="13.5" customHeight="1" x14ac:dyDescent="0.2">
      <c r="B177" s="184" t="s">
        <v>663</v>
      </c>
      <c r="C177" s="184" t="s">
        <v>485</v>
      </c>
      <c r="D177" s="184" t="s">
        <v>348</v>
      </c>
      <c r="E177" s="183" t="str">
        <f t="shared" si="2"/>
        <v>Daniel J Mcclure</v>
      </c>
    </row>
    <row r="178" spans="2:5" s="183" customFormat="1" ht="13.5" customHeight="1" x14ac:dyDescent="0.2">
      <c r="B178" s="184" t="s">
        <v>664</v>
      </c>
      <c r="C178" s="184" t="s">
        <v>524</v>
      </c>
      <c r="D178" s="184" t="s">
        <v>592</v>
      </c>
      <c r="E178" s="183" t="str">
        <f t="shared" si="2"/>
        <v>Robert G Mccoid</v>
      </c>
    </row>
    <row r="179" spans="2:5" s="183" customFormat="1" ht="13.5" customHeight="1" x14ac:dyDescent="0.2">
      <c r="B179" s="184" t="s">
        <v>665</v>
      </c>
      <c r="C179" s="184" t="s">
        <v>524</v>
      </c>
      <c r="D179" s="184" t="s">
        <v>348</v>
      </c>
      <c r="E179" s="183" t="str">
        <f t="shared" si="2"/>
        <v>Robert J Mcconnell</v>
      </c>
    </row>
    <row r="180" spans="2:5" s="183" customFormat="1" ht="13.5" customHeight="1" x14ac:dyDescent="0.2">
      <c r="B180" s="184" t="s">
        <v>666</v>
      </c>
      <c r="C180" s="184" t="s">
        <v>621</v>
      </c>
      <c r="D180" s="184" t="s">
        <v>351</v>
      </c>
      <c r="E180" s="183" t="str">
        <f t="shared" si="2"/>
        <v>Michael M Mcculley</v>
      </c>
    </row>
    <row r="181" spans="2:5" s="183" customFormat="1" ht="13.5" customHeight="1" x14ac:dyDescent="0.2">
      <c r="B181" s="184" t="s">
        <v>667</v>
      </c>
      <c r="C181" s="184" t="s">
        <v>668</v>
      </c>
      <c r="D181" s="184" t="s">
        <v>348</v>
      </c>
      <c r="E181" s="183" t="str">
        <f t="shared" si="2"/>
        <v>Lori J Mcglumphy</v>
      </c>
    </row>
    <row r="182" spans="2:5" s="183" customFormat="1" ht="13.5" customHeight="1" x14ac:dyDescent="0.2">
      <c r="B182" s="184" t="s">
        <v>669</v>
      </c>
      <c r="C182" s="184" t="s">
        <v>670</v>
      </c>
      <c r="D182" s="184"/>
      <c r="E182" s="183" t="str">
        <f t="shared" si="2"/>
        <v>Maryjean Mcintosh</v>
      </c>
    </row>
    <row r="183" spans="2:5" s="183" customFormat="1" ht="13.5" customHeight="1" x14ac:dyDescent="0.2">
      <c r="B183" s="184" t="s">
        <v>671</v>
      </c>
      <c r="C183" s="184" t="s">
        <v>672</v>
      </c>
      <c r="D183" s="184" t="s">
        <v>513</v>
      </c>
      <c r="E183" s="183" t="str">
        <f t="shared" si="2"/>
        <v>Gregg W Mckenzie</v>
      </c>
    </row>
    <row r="184" spans="2:5" s="183" customFormat="1" ht="13.5" customHeight="1" x14ac:dyDescent="0.2">
      <c r="B184" s="184" t="s">
        <v>673</v>
      </c>
      <c r="C184" s="184" t="s">
        <v>674</v>
      </c>
      <c r="D184" s="184" t="s">
        <v>363</v>
      </c>
      <c r="E184" s="183" t="str">
        <f t="shared" si="2"/>
        <v>Sheila R Mckim</v>
      </c>
    </row>
    <row r="185" spans="2:5" s="183" customFormat="1" ht="13.5" customHeight="1" x14ac:dyDescent="0.2">
      <c r="B185" s="184" t="s">
        <v>675</v>
      </c>
      <c r="C185" s="184" t="s">
        <v>537</v>
      </c>
      <c r="D185" s="184" t="s">
        <v>387</v>
      </c>
      <c r="E185" s="183" t="str">
        <f t="shared" si="2"/>
        <v>Megan E Mcnear</v>
      </c>
    </row>
    <row r="186" spans="2:5" s="183" customFormat="1" ht="13.5" customHeight="1" x14ac:dyDescent="0.2">
      <c r="B186" s="184" t="s">
        <v>676</v>
      </c>
      <c r="C186" s="184" t="s">
        <v>677</v>
      </c>
      <c r="D186" s="184" t="s">
        <v>363</v>
      </c>
      <c r="E186" s="183" t="str">
        <f t="shared" si="2"/>
        <v>Danielle R Mehlman-Brightwell</v>
      </c>
    </row>
    <row r="187" spans="2:5" s="183" customFormat="1" ht="13.5" customHeight="1" x14ac:dyDescent="0.2">
      <c r="B187" s="184" t="s">
        <v>621</v>
      </c>
      <c r="C187" s="184" t="s">
        <v>480</v>
      </c>
      <c r="D187" s="184" t="s">
        <v>354</v>
      </c>
      <c r="E187" s="183" t="str">
        <f t="shared" si="2"/>
        <v>Tammy A Michael</v>
      </c>
    </row>
    <row r="188" spans="2:5" s="183" customFormat="1" ht="13.5" customHeight="1" x14ac:dyDescent="0.2">
      <c r="B188" s="184" t="s">
        <v>678</v>
      </c>
      <c r="C188" s="184" t="s">
        <v>679</v>
      </c>
      <c r="D188" s="184" t="s">
        <v>361</v>
      </c>
      <c r="E188" s="183" t="str">
        <f t="shared" si="2"/>
        <v>Jack L Midcap</v>
      </c>
    </row>
    <row r="189" spans="2:5" s="183" customFormat="1" ht="13.5" customHeight="1" x14ac:dyDescent="0.2">
      <c r="B189" s="184" t="s">
        <v>680</v>
      </c>
      <c r="C189" s="184" t="s">
        <v>681</v>
      </c>
      <c r="D189" s="184" t="s">
        <v>351</v>
      </c>
      <c r="E189" s="183" t="str">
        <f t="shared" si="2"/>
        <v>Amy M Mihellis</v>
      </c>
    </row>
    <row r="190" spans="2:5" s="183" customFormat="1" ht="13.5" customHeight="1" x14ac:dyDescent="0.2">
      <c r="B190" s="184" t="s">
        <v>682</v>
      </c>
      <c r="C190" s="184" t="s">
        <v>683</v>
      </c>
      <c r="D190" s="184" t="s">
        <v>351</v>
      </c>
      <c r="E190" s="183" t="str">
        <f t="shared" si="2"/>
        <v>Isabella M Mitchell</v>
      </c>
    </row>
    <row r="191" spans="2:5" s="183" customFormat="1" ht="13.5" customHeight="1" x14ac:dyDescent="0.2">
      <c r="B191" s="184" t="s">
        <v>684</v>
      </c>
      <c r="C191" s="184" t="s">
        <v>485</v>
      </c>
      <c r="D191" s="184" t="s">
        <v>380</v>
      </c>
      <c r="E191" s="183" t="str">
        <f t="shared" si="2"/>
        <v>Daniel T Montgomery</v>
      </c>
    </row>
    <row r="192" spans="2:5" s="183" customFormat="1" ht="13.5" customHeight="1" x14ac:dyDescent="0.2">
      <c r="B192" s="184" t="s">
        <v>684</v>
      </c>
      <c r="C192" s="184" t="s">
        <v>679</v>
      </c>
      <c r="D192" s="184" t="s">
        <v>387</v>
      </c>
      <c r="E192" s="183" t="str">
        <f t="shared" si="2"/>
        <v>Jack E Montgomery</v>
      </c>
    </row>
    <row r="193" spans="2:5" s="183" customFormat="1" ht="13.5" customHeight="1" x14ac:dyDescent="0.2">
      <c r="B193" s="184" t="s">
        <v>684</v>
      </c>
      <c r="C193" s="184" t="s">
        <v>578</v>
      </c>
      <c r="D193" s="184" t="s">
        <v>354</v>
      </c>
      <c r="E193" s="183" t="str">
        <f t="shared" si="2"/>
        <v>Scott A Montgomery</v>
      </c>
    </row>
    <row r="194" spans="2:5" s="183" customFormat="1" ht="13.5" customHeight="1" x14ac:dyDescent="0.2">
      <c r="B194" s="184" t="s">
        <v>685</v>
      </c>
      <c r="C194" s="184" t="s">
        <v>686</v>
      </c>
      <c r="D194" s="184" t="s">
        <v>513</v>
      </c>
      <c r="E194" s="183" t="str">
        <f t="shared" si="2"/>
        <v>Matthew W Morgan</v>
      </c>
    </row>
    <row r="195" spans="2:5" s="183" customFormat="1" ht="13.5" customHeight="1" x14ac:dyDescent="0.2">
      <c r="B195" s="184" t="s">
        <v>685</v>
      </c>
      <c r="C195" s="184" t="s">
        <v>687</v>
      </c>
      <c r="D195" s="184" t="s">
        <v>363</v>
      </c>
      <c r="E195" s="183" t="str">
        <f t="shared" ref="E195:E258" si="3">PROPER(C195&amp;IF(D195="",""," "&amp;D195)&amp;" "&amp;B195)</f>
        <v>Holly R Morgan</v>
      </c>
    </row>
    <row r="196" spans="2:5" s="183" customFormat="1" ht="13.5" customHeight="1" x14ac:dyDescent="0.2">
      <c r="B196" s="184" t="s">
        <v>688</v>
      </c>
      <c r="C196" s="184" t="s">
        <v>689</v>
      </c>
      <c r="D196" s="184" t="s">
        <v>354</v>
      </c>
      <c r="E196" s="183" t="str">
        <f t="shared" si="3"/>
        <v>Karri A Mulhern</v>
      </c>
    </row>
    <row r="197" spans="2:5" s="183" customFormat="1" ht="13.5" customHeight="1" x14ac:dyDescent="0.2">
      <c r="B197" s="184" t="s">
        <v>690</v>
      </c>
      <c r="C197" s="184" t="s">
        <v>691</v>
      </c>
      <c r="D197" s="184" t="s">
        <v>351</v>
      </c>
      <c r="E197" s="183" t="str">
        <f t="shared" si="3"/>
        <v>Rustem M Mulyukov</v>
      </c>
    </row>
    <row r="198" spans="2:5" s="183" customFormat="1" ht="13.5" customHeight="1" x14ac:dyDescent="0.2">
      <c r="B198" s="184" t="s">
        <v>692</v>
      </c>
      <c r="C198" s="184" t="s">
        <v>399</v>
      </c>
      <c r="D198" s="184" t="s">
        <v>354</v>
      </c>
      <c r="E198" s="183" t="str">
        <f t="shared" si="3"/>
        <v>Joseph A Nocera</v>
      </c>
    </row>
    <row r="199" spans="2:5" s="183" customFormat="1" ht="13.5" customHeight="1" x14ac:dyDescent="0.2">
      <c r="B199" s="184" t="s">
        <v>693</v>
      </c>
      <c r="C199" s="184" t="s">
        <v>694</v>
      </c>
      <c r="D199" s="184" t="s">
        <v>348</v>
      </c>
      <c r="E199" s="183" t="str">
        <f t="shared" si="3"/>
        <v>Nancy J Nosko</v>
      </c>
    </row>
    <row r="200" spans="2:5" s="183" customFormat="1" ht="13.5" customHeight="1" x14ac:dyDescent="0.2">
      <c r="B200" s="184" t="s">
        <v>695</v>
      </c>
      <c r="C200" s="184" t="s">
        <v>696</v>
      </c>
      <c r="D200" s="184" t="s">
        <v>361</v>
      </c>
      <c r="E200" s="183" t="str">
        <f t="shared" si="3"/>
        <v>Tillie L Ossman</v>
      </c>
    </row>
    <row r="201" spans="2:5" s="183" customFormat="1" ht="13.5" customHeight="1" x14ac:dyDescent="0.2">
      <c r="B201" s="184" t="s">
        <v>697</v>
      </c>
      <c r="C201" s="184" t="s">
        <v>578</v>
      </c>
      <c r="D201" s="184" t="s">
        <v>373</v>
      </c>
      <c r="E201" s="183" t="str">
        <f t="shared" si="3"/>
        <v>Scott B Owen</v>
      </c>
    </row>
    <row r="202" spans="2:5" s="183" customFormat="1" ht="13.5" customHeight="1" x14ac:dyDescent="0.2">
      <c r="B202" s="184" t="s">
        <v>698</v>
      </c>
      <c r="C202" s="184" t="s">
        <v>411</v>
      </c>
      <c r="D202" s="184" t="s">
        <v>348</v>
      </c>
      <c r="E202" s="183" t="str">
        <f t="shared" si="3"/>
        <v>Kelly J Paree</v>
      </c>
    </row>
    <row r="203" spans="2:5" s="183" customFormat="1" ht="13.5" customHeight="1" x14ac:dyDescent="0.2">
      <c r="B203" s="184" t="s">
        <v>699</v>
      </c>
      <c r="C203" s="184" t="s">
        <v>700</v>
      </c>
      <c r="D203" s="184" t="s">
        <v>354</v>
      </c>
      <c r="E203" s="183" t="str">
        <f t="shared" si="3"/>
        <v>Makayla A Parr</v>
      </c>
    </row>
    <row r="204" spans="2:5" s="183" customFormat="1" ht="13.5" customHeight="1" x14ac:dyDescent="0.2">
      <c r="B204" s="184" t="s">
        <v>701</v>
      </c>
      <c r="C204" s="184" t="s">
        <v>601</v>
      </c>
      <c r="D204" s="184" t="s">
        <v>348</v>
      </c>
      <c r="E204" s="183" t="str">
        <f t="shared" si="3"/>
        <v>Kimberly J Patterson</v>
      </c>
    </row>
    <row r="205" spans="2:5" s="183" customFormat="1" ht="13.5" customHeight="1" x14ac:dyDescent="0.2">
      <c r="B205" s="184" t="s">
        <v>702</v>
      </c>
      <c r="C205" s="184" t="s">
        <v>703</v>
      </c>
      <c r="D205" s="184" t="s">
        <v>354</v>
      </c>
      <c r="E205" s="183" t="str">
        <f t="shared" si="3"/>
        <v>Carol A Pegg</v>
      </c>
    </row>
    <row r="206" spans="2:5" s="183" customFormat="1" ht="13.5" customHeight="1" x14ac:dyDescent="0.2">
      <c r="B206" s="184" t="s">
        <v>704</v>
      </c>
      <c r="C206" s="184" t="s">
        <v>705</v>
      </c>
      <c r="D206" s="184" t="s">
        <v>376</v>
      </c>
      <c r="E206" s="183" t="str">
        <f t="shared" si="3"/>
        <v>Bonnie S Peterman</v>
      </c>
    </row>
    <row r="207" spans="2:5" s="183" customFormat="1" ht="13.5" customHeight="1" x14ac:dyDescent="0.2">
      <c r="B207" s="184" t="s">
        <v>706</v>
      </c>
      <c r="C207" s="184" t="s">
        <v>356</v>
      </c>
      <c r="D207" s="184" t="s">
        <v>348</v>
      </c>
      <c r="E207" s="183" t="str">
        <f t="shared" si="3"/>
        <v>Sarah J Piatt Stafford</v>
      </c>
    </row>
    <row r="208" spans="2:5" s="183" customFormat="1" ht="13.5" customHeight="1" x14ac:dyDescent="0.2">
      <c r="B208" s="184" t="s">
        <v>707</v>
      </c>
      <c r="C208" s="184" t="s">
        <v>708</v>
      </c>
      <c r="D208" s="184" t="s">
        <v>361</v>
      </c>
      <c r="E208" s="183" t="str">
        <f t="shared" si="3"/>
        <v>Trina L Pissos</v>
      </c>
    </row>
    <row r="209" spans="2:5" s="183" customFormat="1" ht="13.5" customHeight="1" x14ac:dyDescent="0.2">
      <c r="B209" s="184" t="s">
        <v>709</v>
      </c>
      <c r="C209" s="184" t="s">
        <v>375</v>
      </c>
      <c r="D209" s="184" t="s">
        <v>351</v>
      </c>
      <c r="E209" s="183" t="str">
        <f t="shared" si="3"/>
        <v>Tami M Pitcher</v>
      </c>
    </row>
    <row r="210" spans="2:5" s="183" customFormat="1" ht="13.5" customHeight="1" x14ac:dyDescent="0.2">
      <c r="B210" s="184" t="s">
        <v>710</v>
      </c>
      <c r="C210" s="184" t="s">
        <v>711</v>
      </c>
      <c r="D210" s="184" t="s">
        <v>363</v>
      </c>
      <c r="E210" s="183" t="str">
        <f t="shared" si="3"/>
        <v>Amber R Pogacsnik</v>
      </c>
    </row>
    <row r="211" spans="2:5" s="183" customFormat="1" ht="13.5" customHeight="1" x14ac:dyDescent="0.2">
      <c r="B211" s="184" t="s">
        <v>712</v>
      </c>
      <c r="C211" s="184" t="s">
        <v>713</v>
      </c>
      <c r="D211" s="184" t="s">
        <v>380</v>
      </c>
      <c r="E211" s="183" t="str">
        <f t="shared" si="3"/>
        <v>James T Pokas</v>
      </c>
    </row>
    <row r="212" spans="2:5" s="183" customFormat="1" ht="13.5" customHeight="1" x14ac:dyDescent="0.2">
      <c r="B212" s="184" t="s">
        <v>714</v>
      </c>
      <c r="C212" s="184" t="s">
        <v>715</v>
      </c>
      <c r="D212" s="184" t="s">
        <v>592</v>
      </c>
      <c r="E212" s="183" t="str">
        <f t="shared" si="3"/>
        <v>Thomas G Queen</v>
      </c>
    </row>
    <row r="213" spans="2:5" s="183" customFormat="1" ht="13.5" customHeight="1" x14ac:dyDescent="0.2">
      <c r="B213" s="184" t="s">
        <v>716</v>
      </c>
      <c r="C213" s="184" t="s">
        <v>717</v>
      </c>
      <c r="D213" s="184" t="s">
        <v>373</v>
      </c>
      <c r="E213" s="183" t="str">
        <f t="shared" si="3"/>
        <v>Ashley B Ramsden</v>
      </c>
    </row>
    <row r="214" spans="2:5" s="183" customFormat="1" ht="13.5" customHeight="1" x14ac:dyDescent="0.2">
      <c r="B214" s="184" t="s">
        <v>718</v>
      </c>
      <c r="C214" s="184" t="s">
        <v>719</v>
      </c>
      <c r="D214" s="184" t="s">
        <v>351</v>
      </c>
      <c r="E214" s="183" t="str">
        <f t="shared" si="3"/>
        <v>Shelly M Reager</v>
      </c>
    </row>
    <row r="215" spans="2:5" s="183" customFormat="1" ht="13.5" customHeight="1" x14ac:dyDescent="0.2">
      <c r="B215" s="184" t="s">
        <v>720</v>
      </c>
      <c r="C215" s="184" t="s">
        <v>491</v>
      </c>
      <c r="D215" s="184" t="s">
        <v>513</v>
      </c>
      <c r="E215" s="183" t="str">
        <f t="shared" si="3"/>
        <v>John W Reho</v>
      </c>
    </row>
    <row r="216" spans="2:5" s="183" customFormat="1" ht="13.5" customHeight="1" x14ac:dyDescent="0.2">
      <c r="B216" s="184" t="s">
        <v>721</v>
      </c>
      <c r="C216" s="184" t="s">
        <v>722</v>
      </c>
      <c r="D216" s="184" t="s">
        <v>351</v>
      </c>
      <c r="E216" s="183" t="str">
        <f t="shared" si="3"/>
        <v>Leland M Riley</v>
      </c>
    </row>
    <row r="217" spans="2:5" s="183" customFormat="1" ht="13.5" customHeight="1" x14ac:dyDescent="0.2">
      <c r="B217" s="184" t="s">
        <v>723</v>
      </c>
      <c r="C217" s="184" t="s">
        <v>724</v>
      </c>
      <c r="D217" s="184" t="s">
        <v>361</v>
      </c>
      <c r="E217" s="183" t="str">
        <f t="shared" si="3"/>
        <v>Ina L Robinson</v>
      </c>
    </row>
    <row r="218" spans="2:5" s="183" customFormat="1" ht="13.5" customHeight="1" x14ac:dyDescent="0.2">
      <c r="B218" s="184" t="s">
        <v>725</v>
      </c>
      <c r="C218" s="184" t="s">
        <v>512</v>
      </c>
      <c r="D218" s="184" t="s">
        <v>513</v>
      </c>
      <c r="E218" s="183" t="str">
        <f t="shared" si="3"/>
        <v>Charles W Rogerson</v>
      </c>
    </row>
    <row r="219" spans="2:5" s="183" customFormat="1" ht="13.5" customHeight="1" x14ac:dyDescent="0.2">
      <c r="B219" s="184" t="s">
        <v>726</v>
      </c>
      <c r="C219" s="184" t="s">
        <v>654</v>
      </c>
      <c r="D219" s="184" t="s">
        <v>354</v>
      </c>
      <c r="E219" s="183" t="str">
        <f t="shared" si="3"/>
        <v>Patricia A Roper</v>
      </c>
    </row>
    <row r="220" spans="2:5" s="183" customFormat="1" ht="13.5" customHeight="1" x14ac:dyDescent="0.2">
      <c r="B220" s="184" t="s">
        <v>727</v>
      </c>
      <c r="C220" s="184" t="s">
        <v>728</v>
      </c>
      <c r="D220" s="184" t="s">
        <v>354</v>
      </c>
      <c r="E220" s="183" t="str">
        <f t="shared" si="3"/>
        <v>Delilah A Ryan</v>
      </c>
    </row>
    <row r="221" spans="2:5" s="183" customFormat="1" ht="13.5" customHeight="1" x14ac:dyDescent="0.2">
      <c r="B221" s="184" t="s">
        <v>727</v>
      </c>
      <c r="C221" s="184" t="s">
        <v>729</v>
      </c>
      <c r="D221" s="184" t="s">
        <v>404</v>
      </c>
      <c r="E221" s="183" t="str">
        <f t="shared" si="3"/>
        <v>Heidi K Ryan</v>
      </c>
    </row>
    <row r="222" spans="2:5" s="183" customFormat="1" ht="13.5" customHeight="1" x14ac:dyDescent="0.2">
      <c r="B222" s="184" t="s">
        <v>730</v>
      </c>
      <c r="C222" s="184" t="s">
        <v>524</v>
      </c>
      <c r="D222" s="184" t="s">
        <v>376</v>
      </c>
      <c r="E222" s="183" t="str">
        <f t="shared" si="3"/>
        <v>Robert S Safreed</v>
      </c>
    </row>
    <row r="223" spans="2:5" s="183" customFormat="1" ht="13.5" customHeight="1" x14ac:dyDescent="0.2">
      <c r="B223" s="184" t="s">
        <v>731</v>
      </c>
      <c r="C223" s="184" t="s">
        <v>732</v>
      </c>
      <c r="D223" s="184" t="s">
        <v>733</v>
      </c>
      <c r="E223" s="183" t="str">
        <f t="shared" si="3"/>
        <v>Amanda Marie Sage</v>
      </c>
    </row>
    <row r="224" spans="2:5" s="183" customFormat="1" ht="13.5" customHeight="1" x14ac:dyDescent="0.2">
      <c r="B224" s="184" t="s">
        <v>734</v>
      </c>
      <c r="C224" s="184" t="s">
        <v>604</v>
      </c>
      <c r="D224" s="184" t="s">
        <v>348</v>
      </c>
      <c r="E224" s="183" t="str">
        <f t="shared" si="3"/>
        <v>Jeffrey J Sayre</v>
      </c>
    </row>
    <row r="225" spans="2:5" s="183" customFormat="1" ht="13.5" customHeight="1" x14ac:dyDescent="0.2">
      <c r="B225" s="184" t="s">
        <v>735</v>
      </c>
      <c r="C225" s="184" t="s">
        <v>736</v>
      </c>
      <c r="D225" s="184" t="s">
        <v>361</v>
      </c>
      <c r="E225" s="183" t="str">
        <f t="shared" si="3"/>
        <v>Miranda L Schrack</v>
      </c>
    </row>
    <row r="226" spans="2:5" s="183" customFormat="1" ht="13.5" customHeight="1" x14ac:dyDescent="0.2">
      <c r="B226" s="184" t="s">
        <v>737</v>
      </c>
      <c r="C226" s="184" t="s">
        <v>738</v>
      </c>
      <c r="D226" s="184" t="s">
        <v>361</v>
      </c>
      <c r="E226" s="183" t="str">
        <f t="shared" si="3"/>
        <v>April L Schrump</v>
      </c>
    </row>
    <row r="227" spans="2:5" s="183" customFormat="1" ht="13.5" customHeight="1" x14ac:dyDescent="0.2">
      <c r="B227" s="184" t="s">
        <v>739</v>
      </c>
      <c r="C227" s="184" t="s">
        <v>740</v>
      </c>
      <c r="D227" s="184" t="s">
        <v>376</v>
      </c>
      <c r="E227" s="183" t="str">
        <f t="shared" si="3"/>
        <v>Lyndsie S Scott-Guzek</v>
      </c>
    </row>
    <row r="228" spans="2:5" s="183" customFormat="1" ht="13.5" customHeight="1" x14ac:dyDescent="0.2">
      <c r="B228" s="184" t="s">
        <v>741</v>
      </c>
      <c r="C228" s="184" t="s">
        <v>711</v>
      </c>
      <c r="D228" s="184" t="s">
        <v>412</v>
      </c>
      <c r="E228" s="183" t="str">
        <f t="shared" si="3"/>
        <v>Amber N Scurry</v>
      </c>
    </row>
    <row r="229" spans="2:5" s="183" customFormat="1" ht="13.5" customHeight="1" x14ac:dyDescent="0.2">
      <c r="B229" s="184" t="s">
        <v>742</v>
      </c>
      <c r="C229" s="184" t="s">
        <v>743</v>
      </c>
      <c r="D229" s="184" t="s">
        <v>376</v>
      </c>
      <c r="E229" s="183" t="str">
        <f t="shared" si="3"/>
        <v>Connie S Sergakis</v>
      </c>
    </row>
    <row r="230" spans="2:5" s="183" customFormat="1" ht="13.5" customHeight="1" x14ac:dyDescent="0.2">
      <c r="B230" s="184" t="s">
        <v>744</v>
      </c>
      <c r="C230" s="184" t="s">
        <v>745</v>
      </c>
      <c r="D230" s="184" t="s">
        <v>746</v>
      </c>
      <c r="E230" s="183" t="str">
        <f t="shared" si="3"/>
        <v>Purnima V Sharma</v>
      </c>
    </row>
    <row r="231" spans="2:5" s="183" customFormat="1" ht="13.5" customHeight="1" x14ac:dyDescent="0.2">
      <c r="B231" s="184" t="s">
        <v>744</v>
      </c>
      <c r="C231" s="184" t="s">
        <v>747</v>
      </c>
      <c r="D231" s="184"/>
      <c r="E231" s="183" t="str">
        <f t="shared" si="3"/>
        <v>Neetika Sharma</v>
      </c>
    </row>
    <row r="232" spans="2:5" s="183" customFormat="1" ht="13.5" customHeight="1" x14ac:dyDescent="0.2">
      <c r="B232" s="184" t="s">
        <v>748</v>
      </c>
      <c r="C232" s="184" t="s">
        <v>749</v>
      </c>
      <c r="D232" s="184" t="s">
        <v>746</v>
      </c>
      <c r="E232" s="183" t="str">
        <f t="shared" si="3"/>
        <v>Neeley V Shaw</v>
      </c>
    </row>
    <row r="233" spans="2:5" s="183" customFormat="1" ht="13.5" customHeight="1" x14ac:dyDescent="0.2">
      <c r="B233" s="184" t="s">
        <v>750</v>
      </c>
      <c r="C233" s="184" t="s">
        <v>751</v>
      </c>
      <c r="D233" s="184" t="s">
        <v>376</v>
      </c>
      <c r="E233" s="183" t="str">
        <f t="shared" si="3"/>
        <v>Rebecca S Shelby</v>
      </c>
    </row>
    <row r="234" spans="2:5" s="183" customFormat="1" ht="13.5" customHeight="1" x14ac:dyDescent="0.2">
      <c r="B234" s="184" t="s">
        <v>752</v>
      </c>
      <c r="C234" s="184" t="s">
        <v>753</v>
      </c>
      <c r="D234" s="184" t="s">
        <v>361</v>
      </c>
      <c r="E234" s="183" t="str">
        <f t="shared" si="3"/>
        <v>Erica L Shepherd</v>
      </c>
    </row>
    <row r="235" spans="2:5" s="183" customFormat="1" ht="13.5" customHeight="1" x14ac:dyDescent="0.2">
      <c r="B235" s="184" t="s">
        <v>754</v>
      </c>
      <c r="C235" s="184" t="s">
        <v>353</v>
      </c>
      <c r="D235" s="184" t="s">
        <v>351</v>
      </c>
      <c r="E235" s="183" t="str">
        <f t="shared" si="3"/>
        <v>Stephanie M Smith</v>
      </c>
    </row>
    <row r="236" spans="2:5" s="183" customFormat="1" ht="13.5" customHeight="1" x14ac:dyDescent="0.2">
      <c r="B236" s="184" t="s">
        <v>754</v>
      </c>
      <c r="C236" s="184" t="s">
        <v>755</v>
      </c>
      <c r="D236" s="184" t="s">
        <v>380</v>
      </c>
      <c r="E236" s="183" t="str">
        <f t="shared" si="3"/>
        <v>Susan T Smith</v>
      </c>
    </row>
    <row r="237" spans="2:5" s="183" customFormat="1" ht="13.5" customHeight="1" x14ac:dyDescent="0.2">
      <c r="B237" s="184" t="s">
        <v>756</v>
      </c>
      <c r="C237" s="184" t="s">
        <v>405</v>
      </c>
      <c r="D237" s="184" t="s">
        <v>354</v>
      </c>
      <c r="E237" s="183" t="str">
        <f t="shared" si="3"/>
        <v>Lisa A Soly</v>
      </c>
    </row>
    <row r="238" spans="2:5" s="183" customFormat="1" ht="13.5" customHeight="1" x14ac:dyDescent="0.2">
      <c r="B238" s="184" t="s">
        <v>757</v>
      </c>
      <c r="C238" s="184" t="s">
        <v>632</v>
      </c>
      <c r="D238" s="184" t="s">
        <v>351</v>
      </c>
      <c r="E238" s="183" t="str">
        <f t="shared" si="3"/>
        <v>Jennifer M Sparachane</v>
      </c>
    </row>
    <row r="239" spans="2:5" s="183" customFormat="1" ht="13.5" customHeight="1" x14ac:dyDescent="0.2">
      <c r="B239" s="184" t="s">
        <v>758</v>
      </c>
      <c r="C239" s="184" t="s">
        <v>759</v>
      </c>
      <c r="D239" s="184" t="s">
        <v>370</v>
      </c>
      <c r="E239" s="183" t="str">
        <f t="shared" si="3"/>
        <v>Rana D Spurlock</v>
      </c>
    </row>
    <row r="240" spans="2:5" s="183" customFormat="1" ht="13.5" customHeight="1" x14ac:dyDescent="0.2">
      <c r="B240" s="184" t="s">
        <v>758</v>
      </c>
      <c r="C240" s="184" t="s">
        <v>760</v>
      </c>
      <c r="D240" s="184" t="s">
        <v>387</v>
      </c>
      <c r="E240" s="183" t="str">
        <f t="shared" si="3"/>
        <v>Wayne E Spurlock</v>
      </c>
    </row>
    <row r="241" spans="2:5" s="183" customFormat="1" ht="13.5" customHeight="1" x14ac:dyDescent="0.2">
      <c r="B241" s="184" t="s">
        <v>761</v>
      </c>
      <c r="C241" s="184" t="s">
        <v>686</v>
      </c>
      <c r="D241" s="184" t="s">
        <v>354</v>
      </c>
      <c r="E241" s="183" t="str">
        <f t="shared" si="3"/>
        <v>Matthew A Starkey</v>
      </c>
    </row>
    <row r="242" spans="2:5" s="183" customFormat="1" ht="13.5" customHeight="1" x14ac:dyDescent="0.2">
      <c r="B242" s="184" t="s">
        <v>762</v>
      </c>
      <c r="C242" s="184" t="s">
        <v>763</v>
      </c>
      <c r="D242" s="184" t="s">
        <v>348</v>
      </c>
      <c r="E242" s="183" t="str">
        <f t="shared" si="3"/>
        <v>Melissa J Stephens</v>
      </c>
    </row>
    <row r="243" spans="2:5" s="183" customFormat="1" ht="13.5" customHeight="1" x14ac:dyDescent="0.2">
      <c r="B243" s="184" t="s">
        <v>764</v>
      </c>
      <c r="C243" s="184" t="s">
        <v>765</v>
      </c>
      <c r="D243" s="184" t="s">
        <v>376</v>
      </c>
      <c r="E243" s="183" t="str">
        <f t="shared" si="3"/>
        <v>Jonathan S Stodola</v>
      </c>
    </row>
    <row r="244" spans="2:5" s="183" customFormat="1" ht="13.5" customHeight="1" x14ac:dyDescent="0.2">
      <c r="B244" s="184" t="s">
        <v>766</v>
      </c>
      <c r="C244" s="184" t="s">
        <v>367</v>
      </c>
      <c r="D244" s="184" t="s">
        <v>348</v>
      </c>
      <c r="E244" s="183" t="str">
        <f t="shared" si="3"/>
        <v>David J Stoffel</v>
      </c>
    </row>
    <row r="245" spans="2:5" s="183" customFormat="1" ht="13.5" customHeight="1" x14ac:dyDescent="0.2">
      <c r="B245" s="184" t="s">
        <v>767</v>
      </c>
      <c r="C245" s="184" t="s">
        <v>768</v>
      </c>
      <c r="D245" s="184" t="s">
        <v>363</v>
      </c>
      <c r="E245" s="183" t="str">
        <f t="shared" si="3"/>
        <v>Kevin R Stokes</v>
      </c>
    </row>
    <row r="246" spans="2:5" s="183" customFormat="1" ht="13.5" customHeight="1" x14ac:dyDescent="0.2">
      <c r="B246" s="184" t="s">
        <v>769</v>
      </c>
      <c r="C246" s="184" t="s">
        <v>770</v>
      </c>
      <c r="D246" s="184" t="s">
        <v>348</v>
      </c>
      <c r="E246" s="183" t="str">
        <f t="shared" si="3"/>
        <v>Carla J Stone</v>
      </c>
    </row>
    <row r="247" spans="2:5" s="183" customFormat="1" ht="13.5" customHeight="1" x14ac:dyDescent="0.2">
      <c r="B247" s="184" t="s">
        <v>771</v>
      </c>
      <c r="C247" s="184" t="s">
        <v>772</v>
      </c>
      <c r="D247" s="184" t="s">
        <v>351</v>
      </c>
      <c r="E247" s="183" t="str">
        <f t="shared" si="3"/>
        <v>Andrea M Strosnider</v>
      </c>
    </row>
    <row r="248" spans="2:5" s="183" customFormat="1" ht="13.5" customHeight="1" x14ac:dyDescent="0.2">
      <c r="B248" s="184" t="s">
        <v>773</v>
      </c>
      <c r="C248" s="184" t="s">
        <v>654</v>
      </c>
      <c r="D248" s="184" t="s">
        <v>354</v>
      </c>
      <c r="E248" s="183" t="str">
        <f t="shared" si="3"/>
        <v>Patricia A Stroud</v>
      </c>
    </row>
    <row r="249" spans="2:5" s="183" customFormat="1" ht="13.5" customHeight="1" x14ac:dyDescent="0.2">
      <c r="B249" s="184" t="s">
        <v>774</v>
      </c>
      <c r="C249" s="184" t="s">
        <v>775</v>
      </c>
      <c r="D249" s="184" t="s">
        <v>513</v>
      </c>
      <c r="E249" s="183" t="str">
        <f t="shared" si="3"/>
        <v>Jayson W Summers</v>
      </c>
    </row>
    <row r="250" spans="2:5" s="183" customFormat="1" ht="13.5" customHeight="1" x14ac:dyDescent="0.2">
      <c r="B250" s="184" t="s">
        <v>776</v>
      </c>
      <c r="C250" s="184" t="s">
        <v>403</v>
      </c>
      <c r="D250" s="184" t="s">
        <v>466</v>
      </c>
      <c r="E250" s="183" t="str">
        <f t="shared" si="3"/>
        <v>Larry P Tackett</v>
      </c>
    </row>
    <row r="251" spans="2:5" s="183" customFormat="1" ht="13.5" customHeight="1" x14ac:dyDescent="0.2">
      <c r="B251" s="184" t="s">
        <v>777</v>
      </c>
      <c r="C251" s="184" t="s">
        <v>778</v>
      </c>
      <c r="D251" s="184" t="s">
        <v>361</v>
      </c>
      <c r="E251" s="183" t="str">
        <f t="shared" si="3"/>
        <v>Clorisa L Tanner</v>
      </c>
    </row>
    <row r="252" spans="2:5" s="183" customFormat="1" ht="13.5" customHeight="1" x14ac:dyDescent="0.2">
      <c r="B252" s="184" t="s">
        <v>779</v>
      </c>
      <c r="C252" s="184" t="s">
        <v>780</v>
      </c>
      <c r="D252" s="184" t="s">
        <v>373</v>
      </c>
      <c r="E252" s="183" t="str">
        <f t="shared" si="3"/>
        <v>Maresa B Taylor</v>
      </c>
    </row>
    <row r="253" spans="2:5" s="183" customFormat="1" ht="13.5" customHeight="1" x14ac:dyDescent="0.2">
      <c r="B253" s="184" t="s">
        <v>781</v>
      </c>
      <c r="C253" s="184" t="s">
        <v>386</v>
      </c>
      <c r="D253" s="184" t="s">
        <v>351</v>
      </c>
      <c r="E253" s="183" t="str">
        <f t="shared" si="3"/>
        <v>Dennis M Thorn</v>
      </c>
    </row>
    <row r="254" spans="2:5" s="183" customFormat="1" ht="13.5" customHeight="1" x14ac:dyDescent="0.2">
      <c r="B254" s="184" t="s">
        <v>782</v>
      </c>
      <c r="C254" s="184" t="s">
        <v>491</v>
      </c>
      <c r="D254" s="184" t="s">
        <v>363</v>
      </c>
      <c r="E254" s="183" t="str">
        <f t="shared" si="3"/>
        <v>John R Tomaszewski</v>
      </c>
    </row>
    <row r="255" spans="2:5" s="183" customFormat="1" ht="13.5" customHeight="1" x14ac:dyDescent="0.2">
      <c r="B255" s="184" t="s">
        <v>783</v>
      </c>
      <c r="C255" s="184" t="s">
        <v>784</v>
      </c>
      <c r="D255" s="184" t="s">
        <v>363</v>
      </c>
      <c r="E255" s="183" t="str">
        <f t="shared" si="3"/>
        <v>Tonya R Trigg</v>
      </c>
    </row>
    <row r="256" spans="2:5" s="183" customFormat="1" ht="13.5" customHeight="1" x14ac:dyDescent="0.2">
      <c r="B256" s="184" t="s">
        <v>785</v>
      </c>
      <c r="C256" s="184" t="s">
        <v>715</v>
      </c>
      <c r="D256" s="184" t="s">
        <v>786</v>
      </c>
      <c r="E256" s="183" t="str">
        <f t="shared" si="3"/>
        <v>Thomas H Vensel</v>
      </c>
    </row>
    <row r="257" spans="2:5" s="183" customFormat="1" ht="13.5" customHeight="1" x14ac:dyDescent="0.2">
      <c r="B257" s="184" t="s">
        <v>787</v>
      </c>
      <c r="C257" s="184" t="s">
        <v>491</v>
      </c>
      <c r="D257" s="184" t="s">
        <v>367</v>
      </c>
      <c r="E257" s="183" t="str">
        <f t="shared" si="3"/>
        <v>John David Vizzuso</v>
      </c>
    </row>
    <row r="258" spans="2:5" s="183" customFormat="1" ht="13.5" customHeight="1" x14ac:dyDescent="0.2">
      <c r="B258" s="184" t="s">
        <v>788</v>
      </c>
      <c r="C258" s="184" t="s">
        <v>789</v>
      </c>
      <c r="D258" s="184" t="s">
        <v>363</v>
      </c>
      <c r="E258" s="183" t="str">
        <f t="shared" si="3"/>
        <v>Gerald R Wallace</v>
      </c>
    </row>
    <row r="259" spans="2:5" s="183" customFormat="1" ht="13.5" customHeight="1" x14ac:dyDescent="0.2">
      <c r="B259" s="184" t="s">
        <v>790</v>
      </c>
      <c r="C259" s="184" t="s">
        <v>656</v>
      </c>
      <c r="D259" s="184" t="s">
        <v>387</v>
      </c>
      <c r="E259" s="183" t="str">
        <f t="shared" ref="E259:E274" si="4">PROPER(C259&amp;IF(D259="",""," "&amp;D259)&amp;" "&amp;B259)</f>
        <v>Mary E Ward</v>
      </c>
    </row>
    <row r="260" spans="2:5" s="183" customFormat="1" ht="13.5" customHeight="1" x14ac:dyDescent="0.2">
      <c r="B260" s="184" t="s">
        <v>791</v>
      </c>
      <c r="C260" s="184" t="s">
        <v>792</v>
      </c>
      <c r="D260" s="184" t="s">
        <v>363</v>
      </c>
      <c r="E260" s="183" t="str">
        <f t="shared" si="4"/>
        <v>Natalie R Warner</v>
      </c>
    </row>
    <row r="261" spans="2:5" s="183" customFormat="1" ht="13.5" customHeight="1" x14ac:dyDescent="0.2">
      <c r="B261" s="184" t="s">
        <v>793</v>
      </c>
      <c r="C261" s="184" t="s">
        <v>794</v>
      </c>
      <c r="D261" s="184" t="s">
        <v>786</v>
      </c>
      <c r="E261" s="183" t="str">
        <f t="shared" si="4"/>
        <v>Lindsay H Warren</v>
      </c>
    </row>
    <row r="262" spans="2:5" s="183" customFormat="1" ht="13.5" customHeight="1" x14ac:dyDescent="0.2">
      <c r="B262" s="184" t="s">
        <v>795</v>
      </c>
      <c r="C262" s="184" t="s">
        <v>796</v>
      </c>
      <c r="D262" s="184" t="s">
        <v>351</v>
      </c>
      <c r="E262" s="183" t="str">
        <f t="shared" si="4"/>
        <v>Michele M Watson</v>
      </c>
    </row>
    <row r="263" spans="2:5" s="183" customFormat="1" ht="13.5" customHeight="1" x14ac:dyDescent="0.2">
      <c r="B263" s="184" t="s">
        <v>797</v>
      </c>
      <c r="C263" s="184" t="s">
        <v>535</v>
      </c>
      <c r="D263" s="184" t="s">
        <v>354</v>
      </c>
      <c r="E263" s="183" t="str">
        <f t="shared" si="4"/>
        <v>Gary A Weisner</v>
      </c>
    </row>
    <row r="264" spans="2:5" s="183" customFormat="1" ht="13.5" customHeight="1" x14ac:dyDescent="0.2">
      <c r="B264" s="184" t="s">
        <v>798</v>
      </c>
      <c r="C264" s="184" t="s">
        <v>687</v>
      </c>
      <c r="D264" s="184" t="s">
        <v>348</v>
      </c>
      <c r="E264" s="183" t="str">
        <f t="shared" si="4"/>
        <v>Holly J Wiley</v>
      </c>
    </row>
    <row r="265" spans="2:5" s="183" customFormat="1" ht="13.5" customHeight="1" x14ac:dyDescent="0.2">
      <c r="B265" s="184" t="s">
        <v>799</v>
      </c>
      <c r="C265" s="184" t="s">
        <v>800</v>
      </c>
      <c r="D265" s="184" t="s">
        <v>786</v>
      </c>
      <c r="E265" s="183" t="str">
        <f t="shared" si="4"/>
        <v>Ida-Jannette H Williams</v>
      </c>
    </row>
    <row r="266" spans="2:5" s="183" customFormat="1" ht="13.5" customHeight="1" x14ac:dyDescent="0.2">
      <c r="B266" s="184" t="s">
        <v>801</v>
      </c>
      <c r="C266" s="184" t="s">
        <v>802</v>
      </c>
      <c r="D266" s="184" t="s">
        <v>592</v>
      </c>
      <c r="E266" s="183" t="str">
        <f t="shared" si="4"/>
        <v>Greg G Winland</v>
      </c>
    </row>
    <row r="267" spans="2:5" s="183" customFormat="1" ht="13.5" customHeight="1" x14ac:dyDescent="0.2">
      <c r="B267" s="184" t="s">
        <v>803</v>
      </c>
      <c r="C267" s="184" t="s">
        <v>804</v>
      </c>
      <c r="D267" s="184" t="s">
        <v>513</v>
      </c>
      <c r="E267" s="183" t="str">
        <f t="shared" si="4"/>
        <v>Kylie W Wise</v>
      </c>
    </row>
    <row r="268" spans="2:5" s="183" customFormat="1" ht="13.5" customHeight="1" x14ac:dyDescent="0.2">
      <c r="B268" s="184" t="s">
        <v>805</v>
      </c>
      <c r="C268" s="184" t="s">
        <v>447</v>
      </c>
      <c r="D268" s="184" t="s">
        <v>387</v>
      </c>
      <c r="E268" s="183" t="str">
        <f t="shared" si="4"/>
        <v>Sara E Wood</v>
      </c>
    </row>
    <row r="269" spans="2:5" s="183" customFormat="1" ht="13.5" customHeight="1" x14ac:dyDescent="0.2">
      <c r="B269" s="184" t="s">
        <v>805</v>
      </c>
      <c r="C269" s="184" t="s">
        <v>732</v>
      </c>
      <c r="D269" s="184" t="s">
        <v>431</v>
      </c>
      <c r="E269" s="183" t="str">
        <f t="shared" si="4"/>
        <v>Amanda C Wood</v>
      </c>
    </row>
    <row r="270" spans="2:5" s="183" customFormat="1" ht="13.5" customHeight="1" x14ac:dyDescent="0.2">
      <c r="B270" s="184" t="s">
        <v>806</v>
      </c>
      <c r="C270" s="184" t="s">
        <v>807</v>
      </c>
      <c r="D270" s="184" t="s">
        <v>361</v>
      </c>
      <c r="E270" s="183" t="str">
        <f t="shared" si="4"/>
        <v>Jason L Woods</v>
      </c>
    </row>
    <row r="271" spans="2:5" s="183" customFormat="1" ht="13.5" customHeight="1" x14ac:dyDescent="0.2">
      <c r="B271" s="184" t="s">
        <v>808</v>
      </c>
      <c r="C271" s="184" t="s">
        <v>609</v>
      </c>
      <c r="D271" s="184" t="s">
        <v>361</v>
      </c>
      <c r="E271" s="183" t="str">
        <f t="shared" si="4"/>
        <v>Anthony L Xidis</v>
      </c>
    </row>
    <row r="272" spans="2:5" s="183" customFormat="1" ht="13.5" customHeight="1" x14ac:dyDescent="0.2">
      <c r="B272" s="184" t="s">
        <v>809</v>
      </c>
      <c r="C272" s="184" t="s">
        <v>810</v>
      </c>
      <c r="D272" s="184" t="s">
        <v>354</v>
      </c>
      <c r="E272" s="183" t="str">
        <f t="shared" si="4"/>
        <v>Lora A Yeater</v>
      </c>
    </row>
    <row r="273" spans="2:5" s="183" customFormat="1" ht="13.5" customHeight="1" x14ac:dyDescent="0.2">
      <c r="B273" s="184" t="s">
        <v>811</v>
      </c>
      <c r="C273" s="184" t="s">
        <v>751</v>
      </c>
      <c r="D273" s="184" t="s">
        <v>376</v>
      </c>
      <c r="E273" s="183" t="str">
        <f t="shared" si="4"/>
        <v>Rebecca S Yesenczki</v>
      </c>
    </row>
    <row r="274" spans="2:5" s="183" customFormat="1" ht="13.5" customHeight="1" x14ac:dyDescent="0.2">
      <c r="B274" s="184" t="s">
        <v>812</v>
      </c>
      <c r="C274" s="184" t="s">
        <v>813</v>
      </c>
      <c r="D274" s="184" t="s">
        <v>814</v>
      </c>
      <c r="E274" s="183" t="str">
        <f t="shared" si="4"/>
        <v>Clinton F Yost</v>
      </c>
    </row>
    <row r="275" spans="2:5" s="183" customFormat="1" ht="28.25" customHeight="1" x14ac:dyDescent="0.2"/>
  </sheetData>
  <sheetProtection sheet="1" objects="1" scenarios="1"/>
  <autoFilter ref="B1:D1" xr:uid="{00000000-0009-0000-0000-000007000000}">
    <sortState xmlns:xlrd2="http://schemas.microsoft.com/office/spreadsheetml/2017/richdata2" ref="B2:D274">
      <sortCondition ref="B1"/>
    </sortState>
  </autoFilter>
  <pageMargins left="0.78431372549019618" right="0.78431372549019618" top="0.98039215686274517" bottom="0.98039215686274517" header="0.50980392156862753" footer="0.5098039215686275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25</vt:i4>
      </vt:variant>
    </vt:vector>
  </HeadingPairs>
  <TitlesOfParts>
    <vt:vector size="34" baseType="lpstr">
      <vt:lpstr>Instructions</vt:lpstr>
      <vt:lpstr>Request</vt:lpstr>
      <vt:lpstr>Expenses</vt:lpstr>
      <vt:lpstr>Settlement</vt:lpstr>
      <vt:lpstr>Settlement 2 - To Delete</vt:lpstr>
      <vt:lpstr>PD_Request</vt:lpstr>
      <vt:lpstr>Lookups</vt:lpstr>
      <vt:lpstr>PINS</vt:lpstr>
      <vt:lpstr>System Names</vt:lpstr>
      <vt:lpstr>Category</vt:lpstr>
      <vt:lpstr>City__State</vt:lpstr>
      <vt:lpstr>Date</vt:lpstr>
      <vt:lpstr>Dept_No</vt:lpstr>
      <vt:lpstr>Dept_Number</vt:lpstr>
      <vt:lpstr>Description</vt:lpstr>
      <vt:lpstr>Exp_Category</vt:lpstr>
      <vt:lpstr>From_City</vt:lpstr>
      <vt:lpstr>GSA_Per_Diem</vt:lpstr>
      <vt:lpstr>Line_Item</vt:lpstr>
      <vt:lpstr>Mileage_Data</vt:lpstr>
      <vt:lpstr>Not_Allowable</vt:lpstr>
      <vt:lpstr>Pcard_Yes_No</vt:lpstr>
      <vt:lpstr>Expenses!Print_Area</vt:lpstr>
      <vt:lpstr>PD_Request!Print_Area</vt:lpstr>
      <vt:lpstr>Request!Print_Area</vt:lpstr>
      <vt:lpstr>Settlement!Print_Area</vt:lpstr>
      <vt:lpstr>'Settlement 2 - To Delete'!Print_Area</vt:lpstr>
      <vt:lpstr>Expenses!Print_Titles</vt:lpstr>
      <vt:lpstr>Settlement!Print_Titles</vt:lpstr>
      <vt:lpstr>Receipt_Yes_No</vt:lpstr>
      <vt:lpstr>Tip</vt:lpstr>
      <vt:lpstr>To_City</vt:lpstr>
      <vt:lpstr>Total</vt:lpstr>
      <vt:lpstr>Total_Receipt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Sayre</dc:creator>
  <cp:lastModifiedBy>Hilary Curto</cp:lastModifiedBy>
  <cp:lastPrinted>2019-10-14T11:22:25Z</cp:lastPrinted>
  <dcterms:created xsi:type="dcterms:W3CDTF">2017-03-14T19:36:52Z</dcterms:created>
  <dcterms:modified xsi:type="dcterms:W3CDTF">2025-01-16T13:37:24Z</dcterms:modified>
</cp:coreProperties>
</file>